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35" yWindow="15" windowWidth="10140" windowHeight="8115" tabRatio="761"/>
  </bookViews>
  <sheets>
    <sheet name="Guidelines" sheetId="11" r:id="rId1"/>
    <sheet name="1 - General Data" sheetId="1" r:id="rId2"/>
    <sheet name="2 - Demand Domestic" sheetId="9" r:id="rId3"/>
    <sheet name="3 - Demand Livestock" sheetId="8" r:id="rId4"/>
    <sheet name="4 - Demand Agriculture" sheetId="4" r:id="rId5"/>
    <sheet name="5 - Migration" sheetId="6" r:id="rId6"/>
    <sheet name="6 - Wildlife" sheetId="12" r:id="rId7"/>
    <sheet name="SUMMARY" sheetId="5" r:id="rId8"/>
  </sheets>
  <definedNames>
    <definedName name="_xlnm.Print_Area" localSheetId="7">SUMMARY!$A$1:$Z$463</definedName>
  </definedNames>
  <calcPr calcId="145621"/>
</workbook>
</file>

<file path=xl/calcChain.xml><?xml version="1.0" encoding="utf-8"?>
<calcChain xmlns="http://schemas.openxmlformats.org/spreadsheetml/2006/main">
  <c r="C19" i="1" l="1"/>
  <c r="C18" i="1"/>
  <c r="I17" i="12" l="1"/>
  <c r="N12" i="12"/>
  <c r="N11" i="12"/>
  <c r="N10" i="12"/>
  <c r="E23" i="12"/>
  <c r="E21" i="12"/>
  <c r="E19" i="12"/>
  <c r="D345" i="5"/>
  <c r="D343" i="5"/>
  <c r="D331" i="5"/>
  <c r="D329" i="5"/>
  <c r="D317" i="5"/>
  <c r="D315" i="5"/>
  <c r="D341" i="5"/>
  <c r="D339" i="5"/>
  <c r="D327" i="5"/>
  <c r="D325" i="5"/>
  <c r="D313" i="5"/>
  <c r="D311" i="5"/>
  <c r="D337" i="5"/>
  <c r="D323" i="5"/>
  <c r="D309" i="5"/>
  <c r="L295" i="5"/>
  <c r="D340" i="5" s="1"/>
  <c r="D497" i="5"/>
  <c r="D495" i="5"/>
  <c r="D483" i="5"/>
  <c r="D481" i="5"/>
  <c r="D469" i="5"/>
  <c r="D467" i="5"/>
  <c r="D421" i="5"/>
  <c r="D419" i="5"/>
  <c r="D407" i="5"/>
  <c r="D405" i="5"/>
  <c r="D393" i="5"/>
  <c r="D391" i="5"/>
  <c r="D326" i="5" l="1"/>
  <c r="D312" i="5"/>
  <c r="J19" i="1" l="1"/>
  <c r="X42" i="4" l="1"/>
  <c r="X43" i="4"/>
  <c r="X44" i="4"/>
  <c r="X45" i="4"/>
  <c r="X46" i="4"/>
  <c r="X47" i="4"/>
  <c r="X48" i="4"/>
  <c r="X49" i="4"/>
  <c r="X50" i="4"/>
  <c r="X41" i="4"/>
  <c r="T79" i="8" l="1"/>
  <c r="R79" i="8"/>
  <c r="T72" i="8"/>
  <c r="R72" i="8"/>
  <c r="G101" i="4" l="1"/>
  <c r="I101" i="4"/>
  <c r="K101" i="4"/>
  <c r="M101" i="4"/>
  <c r="O101" i="4"/>
  <c r="Q101" i="4"/>
  <c r="S101" i="4"/>
  <c r="U101" i="4"/>
  <c r="W101" i="4"/>
  <c r="Y101" i="4"/>
  <c r="AO43" i="4"/>
  <c r="AO46" i="4"/>
  <c r="AO47" i="4"/>
  <c r="AN50" i="4"/>
  <c r="AN48" i="4"/>
  <c r="AO48" i="4" s="1"/>
  <c r="AN47" i="4"/>
  <c r="AN46" i="4"/>
  <c r="AN45" i="4"/>
  <c r="AO45" i="4" s="1"/>
  <c r="AN44" i="4"/>
  <c r="AO44" i="4" s="1"/>
  <c r="AN43" i="4"/>
  <c r="AN42" i="4"/>
  <c r="AO42" i="4" s="1"/>
  <c r="AM42" i="4"/>
  <c r="AM43" i="4"/>
  <c r="AM44" i="4"/>
  <c r="AM45" i="4"/>
  <c r="AM46" i="4"/>
  <c r="AM47" i="4"/>
  <c r="AM48" i="4"/>
  <c r="AL50" i="4"/>
  <c r="AL47" i="4"/>
  <c r="AL46" i="4"/>
  <c r="AL45" i="4"/>
  <c r="AL44" i="4"/>
  <c r="AL43" i="4"/>
  <c r="AL42" i="4"/>
  <c r="AK42" i="4"/>
  <c r="AK43" i="4"/>
  <c r="AK45" i="4"/>
  <c r="AK46" i="4"/>
  <c r="AK47" i="4"/>
  <c r="AJ50" i="4"/>
  <c r="AJ47" i="4"/>
  <c r="AJ46" i="4"/>
  <c r="AJ45" i="4"/>
  <c r="AJ43" i="4"/>
  <c r="AJ42" i="4"/>
  <c r="AI41" i="4"/>
  <c r="AI42" i="4"/>
  <c r="AI43" i="4"/>
  <c r="AI44" i="4"/>
  <c r="AJ44" i="4" s="1"/>
  <c r="AK44" i="4" s="1"/>
  <c r="AI45" i="4"/>
  <c r="AI46" i="4"/>
  <c r="AI47" i="4"/>
  <c r="AI48" i="4"/>
  <c r="AJ48" i="4" s="1"/>
  <c r="AK48" i="4" s="1"/>
  <c r="AL48" i="4" s="1"/>
  <c r="AI49" i="4"/>
  <c r="AI50" i="4"/>
  <c r="AH50" i="4"/>
  <c r="AH48" i="4"/>
  <c r="AH47" i="4"/>
  <c r="AH46" i="4"/>
  <c r="AH45" i="4"/>
  <c r="AH44" i="4"/>
  <c r="AH43" i="4"/>
  <c r="AH42" i="4"/>
  <c r="AG50" i="4"/>
  <c r="AG48" i="4"/>
  <c r="AG47" i="4"/>
  <c r="AG46" i="4"/>
  <c r="AG45" i="4"/>
  <c r="AG44" i="4"/>
  <c r="AG43" i="4"/>
  <c r="AG42" i="4"/>
  <c r="AF50" i="4"/>
  <c r="AF48" i="4"/>
  <c r="AF47" i="4"/>
  <c r="AF46" i="4"/>
  <c r="AF45" i="4"/>
  <c r="AF44" i="4"/>
  <c r="AF43" i="4"/>
  <c r="AF42" i="4"/>
  <c r="AE50" i="4"/>
  <c r="AE47" i="4"/>
  <c r="AE46" i="4"/>
  <c r="AE45" i="4"/>
  <c r="AE44" i="4"/>
  <c r="AE43" i="4"/>
  <c r="AE42" i="4"/>
  <c r="AD50" i="4"/>
  <c r="AD47" i="4"/>
  <c r="AD46" i="4"/>
  <c r="AD45" i="4"/>
  <c r="AD43" i="4"/>
  <c r="AD42" i="4"/>
  <c r="AC50" i="4"/>
  <c r="AC47" i="4"/>
  <c r="AC46" i="4"/>
  <c r="AC45" i="4"/>
  <c r="AC43" i="4"/>
  <c r="AC42" i="4"/>
  <c r="AB50" i="4"/>
  <c r="AB49" i="4"/>
  <c r="AB48" i="4"/>
  <c r="AC48" i="4" s="1"/>
  <c r="AD48" i="4" s="1"/>
  <c r="AE48" i="4" s="1"/>
  <c r="AB47" i="4"/>
  <c r="AB46" i="4"/>
  <c r="AB45" i="4"/>
  <c r="AB44" i="4"/>
  <c r="AC44" i="4" s="1"/>
  <c r="AD44" i="4" s="1"/>
  <c r="AB43" i="4"/>
  <c r="AB42" i="4"/>
  <c r="AB41" i="4"/>
  <c r="M164" i="5"/>
  <c r="M169" i="5"/>
  <c r="M170" i="5"/>
  <c r="M171" i="5"/>
  <c r="M172" i="5"/>
  <c r="M173" i="5"/>
  <c r="M174" i="5"/>
  <c r="M175" i="5"/>
  <c r="M176" i="5"/>
  <c r="M177" i="5"/>
  <c r="M168" i="5"/>
  <c r="K172" i="5"/>
  <c r="K173" i="5"/>
  <c r="K174" i="5"/>
  <c r="K175" i="5"/>
  <c r="I172" i="5"/>
  <c r="I173" i="5"/>
  <c r="I174" i="5"/>
  <c r="I175" i="5"/>
  <c r="I176" i="5"/>
  <c r="O153" i="5"/>
  <c r="O154" i="5"/>
  <c r="O155" i="5"/>
  <c r="O156" i="5"/>
  <c r="M153" i="5"/>
  <c r="M154" i="5"/>
  <c r="M155" i="5"/>
  <c r="M156" i="5"/>
  <c r="M157" i="5"/>
  <c r="K153" i="5"/>
  <c r="K154" i="5"/>
  <c r="K155" i="5"/>
  <c r="K156" i="5"/>
  <c r="K157" i="5"/>
  <c r="I153" i="5"/>
  <c r="I154" i="5"/>
  <c r="I155" i="5"/>
  <c r="I156" i="5"/>
  <c r="I157" i="5"/>
  <c r="X94" i="4"/>
  <c r="X101" i="4" s="1"/>
  <c r="V94" i="4"/>
  <c r="V101" i="4" s="1"/>
  <c r="T94" i="4"/>
  <c r="T101" i="4" s="1"/>
  <c r="R94" i="4"/>
  <c r="R101" i="4" s="1"/>
  <c r="P94" i="4"/>
  <c r="P101" i="4" s="1"/>
  <c r="N94" i="4"/>
  <c r="N101" i="4" s="1"/>
  <c r="L94" i="4"/>
  <c r="L101" i="4" s="1"/>
  <c r="J94" i="4"/>
  <c r="J101" i="4" s="1"/>
  <c r="H94" i="4"/>
  <c r="H101" i="4" s="1"/>
  <c r="F94" i="4"/>
  <c r="F101" i="4" s="1"/>
  <c r="D94" i="4"/>
  <c r="D101" i="4" s="1"/>
  <c r="B94" i="4"/>
  <c r="B101" i="4" s="1"/>
  <c r="F128" i="4"/>
  <c r="A55" i="6"/>
  <c r="A53" i="6"/>
  <c r="A60" i="4"/>
  <c r="A111" i="4" s="1"/>
  <c r="J125" i="4" s="1"/>
  <c r="A61" i="4"/>
  <c r="A112" i="4" s="1"/>
  <c r="A62" i="4"/>
  <c r="A113" i="4" s="1"/>
  <c r="R127" i="4" s="1"/>
  <c r="A63" i="4"/>
  <c r="L45" i="4"/>
  <c r="M45" i="4" s="1"/>
  <c r="S45" i="4" s="1"/>
  <c r="L46" i="4"/>
  <c r="M46" i="4" s="1"/>
  <c r="S46" i="4" s="1"/>
  <c r="L47" i="4"/>
  <c r="M47" i="4" s="1"/>
  <c r="S47" i="4" s="1"/>
  <c r="L48" i="4"/>
  <c r="M48" i="4" s="1"/>
  <c r="S48" i="4" s="1"/>
  <c r="H44" i="4"/>
  <c r="H45" i="4"/>
  <c r="H46" i="4"/>
  <c r="H47" i="4"/>
  <c r="H48" i="4"/>
  <c r="C45" i="4"/>
  <c r="J45" i="4" s="1"/>
  <c r="C46" i="4"/>
  <c r="J46" i="4" s="1"/>
  <c r="C47" i="4"/>
  <c r="J47" i="4" s="1"/>
  <c r="C48" i="4"/>
  <c r="J48" i="4" s="1"/>
  <c r="S31" i="4"/>
  <c r="R31" i="4"/>
  <c r="Q31" i="4"/>
  <c r="P31" i="4"/>
  <c r="S30" i="4"/>
  <c r="R30" i="4"/>
  <c r="Q30" i="4"/>
  <c r="P30" i="4"/>
  <c r="S29" i="4"/>
  <c r="R29" i="4"/>
  <c r="Q29" i="4"/>
  <c r="P29" i="4"/>
  <c r="K31" i="4"/>
  <c r="J31" i="4"/>
  <c r="I31" i="4"/>
  <c r="H31" i="4"/>
  <c r="K30" i="4"/>
  <c r="J30" i="4"/>
  <c r="I30" i="4"/>
  <c r="H30" i="4"/>
  <c r="K29" i="4"/>
  <c r="J29" i="4"/>
  <c r="I29" i="4"/>
  <c r="H29" i="4"/>
  <c r="F58" i="8"/>
  <c r="F56" i="8"/>
  <c r="F54" i="8"/>
  <c r="G48" i="8"/>
  <c r="G49" i="8"/>
  <c r="G47" i="8"/>
  <c r="G46" i="8"/>
  <c r="F38" i="8"/>
  <c r="J20" i="1"/>
  <c r="D493" i="5"/>
  <c r="D491" i="5"/>
  <c r="D489" i="5"/>
  <c r="D479" i="5"/>
  <c r="D477" i="5"/>
  <c r="D475" i="5"/>
  <c r="D465" i="5"/>
  <c r="D463" i="5"/>
  <c r="D461" i="5"/>
  <c r="F71" i="4" l="1"/>
  <c r="R62" i="4"/>
  <c r="R113" i="4" s="1"/>
  <c r="N61" i="4"/>
  <c r="N112" i="4" s="1"/>
  <c r="H61" i="4"/>
  <c r="H112" i="4" s="1"/>
  <c r="F61" i="4"/>
  <c r="F112" i="4" s="1"/>
  <c r="D61" i="4"/>
  <c r="D112" i="4" s="1"/>
  <c r="P62" i="4"/>
  <c r="P113" i="4" s="1"/>
  <c r="V61" i="4"/>
  <c r="V112" i="4" s="1"/>
  <c r="P60" i="4"/>
  <c r="P111" i="4" s="1"/>
  <c r="H62" i="4"/>
  <c r="H113" i="4" s="1"/>
  <c r="X62" i="4"/>
  <c r="X113" i="4" s="1"/>
  <c r="V62" i="4"/>
  <c r="V113" i="4" s="1"/>
  <c r="T62" i="4"/>
  <c r="T113" i="4" s="1"/>
  <c r="D62" i="4"/>
  <c r="D113" i="4" s="1"/>
  <c r="J61" i="4"/>
  <c r="J112" i="4" s="1"/>
  <c r="R61" i="4"/>
  <c r="R112" i="4" s="1"/>
  <c r="R60" i="4"/>
  <c r="R111" i="4" s="1"/>
  <c r="X61" i="4"/>
  <c r="X112" i="4" s="1"/>
  <c r="N62" i="4"/>
  <c r="N113" i="4" s="1"/>
  <c r="L62" i="4"/>
  <c r="L113" i="4" s="1"/>
  <c r="B61" i="4"/>
  <c r="B112" i="4" s="1"/>
  <c r="L61" i="4"/>
  <c r="L112" i="4" s="1"/>
  <c r="X60" i="4"/>
  <c r="X111" i="4" s="1"/>
  <c r="H60" i="4"/>
  <c r="H111" i="4" s="1"/>
  <c r="B62" i="4"/>
  <c r="B113" i="4" s="1"/>
  <c r="F62" i="4"/>
  <c r="F113" i="4" s="1"/>
  <c r="P61" i="4"/>
  <c r="P112" i="4" s="1"/>
  <c r="T61" i="4"/>
  <c r="T112" i="4" s="1"/>
  <c r="J62" i="4"/>
  <c r="J113" i="4" s="1"/>
  <c r="F60" i="4"/>
  <c r="F111" i="4" s="1"/>
  <c r="N60" i="4"/>
  <c r="N111" i="4" s="1"/>
  <c r="V60" i="4"/>
  <c r="V111" i="4" s="1"/>
  <c r="D60" i="4"/>
  <c r="D111" i="4" s="1"/>
  <c r="L60" i="4"/>
  <c r="L111" i="4" s="1"/>
  <c r="T60" i="4"/>
  <c r="T111" i="4" s="1"/>
  <c r="B60" i="4"/>
  <c r="B111" i="4" s="1"/>
  <c r="J60" i="4"/>
  <c r="J111" i="4" s="1"/>
  <c r="J126" i="4"/>
  <c r="A140" i="4"/>
  <c r="R126" i="4"/>
  <c r="U30" i="4"/>
  <c r="U31" i="4"/>
  <c r="A141" i="4"/>
  <c r="R125" i="4"/>
  <c r="J127" i="4"/>
  <c r="A139" i="4"/>
  <c r="U29" i="4"/>
  <c r="T29" i="4"/>
  <c r="E45" i="4" s="1"/>
  <c r="O45" i="4" s="1"/>
  <c r="P45" i="4" s="1"/>
  <c r="T30" i="4"/>
  <c r="E46" i="4" s="1"/>
  <c r="O46" i="4" s="1"/>
  <c r="P46" i="4" s="1"/>
  <c r="T31" i="4"/>
  <c r="E47" i="4" s="1"/>
  <c r="O47" i="4" s="1"/>
  <c r="P47" i="4" s="1"/>
  <c r="D417" i="5"/>
  <c r="D415" i="5"/>
  <c r="D413" i="5"/>
  <c r="D403" i="5"/>
  <c r="D401" i="5"/>
  <c r="D399" i="5"/>
  <c r="D389" i="5"/>
  <c r="D387" i="5"/>
  <c r="D385" i="5"/>
  <c r="H25" i="4" l="1"/>
  <c r="AN40" i="4" l="1"/>
  <c r="AH51" i="4"/>
  <c r="AC40" i="4"/>
  <c r="AD40" i="4" s="1"/>
  <c r="AE40" i="4" s="1"/>
  <c r="AF40" i="4" s="1"/>
  <c r="AG40" i="4" s="1"/>
  <c r="K231" i="5" l="1"/>
  <c r="N234" i="5"/>
  <c r="N233" i="5"/>
  <c r="N232" i="5"/>
  <c r="N231" i="5"/>
  <c r="N230" i="5"/>
  <c r="N229" i="5"/>
  <c r="K234" i="5"/>
  <c r="K233" i="5"/>
  <c r="K232" i="5"/>
  <c r="K230" i="5"/>
  <c r="K229" i="5"/>
  <c r="L234" i="5"/>
  <c r="L233" i="5"/>
  <c r="L232" i="5"/>
  <c r="L231" i="5"/>
  <c r="L230" i="5"/>
  <c r="L229" i="5"/>
  <c r="I234" i="5"/>
  <c r="I233" i="5"/>
  <c r="I232" i="5"/>
  <c r="I231" i="5"/>
  <c r="I230" i="5"/>
  <c r="I229" i="5"/>
  <c r="N219" i="5"/>
  <c r="K220" i="5"/>
  <c r="K221" i="5"/>
  <c r="K222" i="5"/>
  <c r="K223" i="5"/>
  <c r="K219" i="5"/>
  <c r="K218" i="5"/>
  <c r="I218" i="5"/>
  <c r="K169" i="5"/>
  <c r="K170" i="5"/>
  <c r="K171" i="5"/>
  <c r="K176" i="5"/>
  <c r="K177" i="5"/>
  <c r="K168" i="5"/>
  <c r="K166" i="5"/>
  <c r="M163" i="5"/>
  <c r="M162" i="5"/>
  <c r="K160" i="5"/>
  <c r="K14" i="5"/>
  <c r="M10" i="5"/>
  <c r="B93" i="4"/>
  <c r="B88" i="4"/>
  <c r="B89" i="4"/>
  <c r="B90" i="4"/>
  <c r="B91" i="4"/>
  <c r="B92" i="4"/>
  <c r="B87" i="4"/>
  <c r="B82" i="4"/>
  <c r="B83" i="4"/>
  <c r="B84" i="4"/>
  <c r="B85" i="4"/>
  <c r="B86" i="4"/>
  <c r="B81" i="4"/>
  <c r="C88" i="4"/>
  <c r="C89" i="4"/>
  <c r="C90" i="4"/>
  <c r="C91" i="4"/>
  <c r="C92" i="4"/>
  <c r="C87" i="4"/>
  <c r="C82" i="4"/>
  <c r="C83" i="4"/>
  <c r="C84" i="4"/>
  <c r="C85" i="4"/>
  <c r="C86" i="4"/>
  <c r="C81" i="4"/>
  <c r="O150" i="5"/>
  <c r="O151" i="5"/>
  <c r="O152" i="5"/>
  <c r="O157" i="5"/>
  <c r="O158" i="5"/>
  <c r="O149" i="5"/>
  <c r="M150" i="5"/>
  <c r="M151" i="5"/>
  <c r="M152" i="5"/>
  <c r="M158" i="5"/>
  <c r="M149" i="5"/>
  <c r="K150" i="5"/>
  <c r="K151" i="5"/>
  <c r="K152" i="5"/>
  <c r="K158" i="5"/>
  <c r="K149" i="5"/>
  <c r="J145" i="5"/>
  <c r="L90" i="5" l="1"/>
  <c r="K90" i="5"/>
  <c r="J90" i="5"/>
  <c r="I90" i="5"/>
  <c r="H90" i="5"/>
  <c r="N54" i="5"/>
  <c r="J56" i="5"/>
  <c r="J57" i="5"/>
  <c r="J58" i="5"/>
  <c r="J59" i="5"/>
  <c r="J55" i="5"/>
  <c r="H56" i="5"/>
  <c r="H57" i="5"/>
  <c r="H58" i="5"/>
  <c r="H59" i="5"/>
  <c r="H55" i="5"/>
  <c r="J40" i="5"/>
  <c r="J295" i="5" s="1"/>
  <c r="K11" i="6" l="1"/>
  <c r="H22" i="6"/>
  <c r="F12" i="6"/>
  <c r="F13" i="6"/>
  <c r="F14" i="6"/>
  <c r="F15" i="6"/>
  <c r="F11" i="6"/>
  <c r="F10" i="6"/>
  <c r="C12" i="6"/>
  <c r="I220" i="5" s="1"/>
  <c r="C13" i="6"/>
  <c r="I221" i="5" s="1"/>
  <c r="C14" i="6"/>
  <c r="I222" i="5" s="1"/>
  <c r="C15" i="6"/>
  <c r="I223" i="5" s="1"/>
  <c r="C11" i="6"/>
  <c r="I219" i="5" s="1"/>
  <c r="F99" i="8"/>
  <c r="H125" i="5" s="1"/>
  <c r="F97" i="8"/>
  <c r="H123" i="5" s="1"/>
  <c r="F95" i="8"/>
  <c r="H121" i="5" s="1"/>
  <c r="G90" i="8"/>
  <c r="G114" i="5" s="1"/>
  <c r="G89" i="8"/>
  <c r="G113" i="5" s="1"/>
  <c r="G88" i="8"/>
  <c r="G112" i="5" s="1"/>
  <c r="G67" i="8" l="1"/>
  <c r="G68" i="8"/>
  <c r="G66" i="8"/>
  <c r="P72" i="8" s="1"/>
  <c r="G65" i="8"/>
  <c r="N72" i="8" s="1"/>
  <c r="G64" i="8"/>
  <c r="L72" i="8" s="1"/>
  <c r="H104" i="5"/>
  <c r="H102" i="5"/>
  <c r="H100" i="5"/>
  <c r="G93" i="5"/>
  <c r="G92" i="5"/>
  <c r="G91" i="5"/>
  <c r="G90" i="5"/>
  <c r="F35" i="8"/>
  <c r="H82" i="5" s="1"/>
  <c r="F33" i="8"/>
  <c r="H80" i="5" s="1"/>
  <c r="F31" i="8"/>
  <c r="H78" i="5" s="1"/>
  <c r="G135" i="5" s="1"/>
  <c r="F26" i="8"/>
  <c r="G71" i="5" s="1"/>
  <c r="F25" i="8"/>
  <c r="G70" i="5" s="1"/>
  <c r="F24" i="8"/>
  <c r="G69" i="5" s="1"/>
  <c r="F61" i="8"/>
  <c r="F16" i="9"/>
  <c r="G46" i="5" s="1"/>
  <c r="F14" i="9"/>
  <c r="G44" i="5" s="1"/>
  <c r="F12" i="9"/>
  <c r="G42" i="5" s="1"/>
  <c r="Q87" i="8"/>
  <c r="O87" i="8"/>
  <c r="M87" i="8"/>
  <c r="K87" i="8"/>
  <c r="I87" i="8"/>
  <c r="E83" i="8"/>
  <c r="I78" i="8"/>
  <c r="I77" i="8"/>
  <c r="I76" i="8"/>
  <c r="I75" i="8"/>
  <c r="I74" i="8"/>
  <c r="L79" i="8"/>
  <c r="T46" i="8"/>
  <c r="N90" i="5" s="1"/>
  <c r="E42" i="8"/>
  <c r="Q23" i="8"/>
  <c r="O23" i="8"/>
  <c r="O63" i="8" s="1"/>
  <c r="M23" i="8"/>
  <c r="M45" i="8" s="1"/>
  <c r="K23" i="8"/>
  <c r="K45" i="8" s="1"/>
  <c r="I23" i="8"/>
  <c r="A157" i="4"/>
  <c r="A156" i="4"/>
  <c r="A155" i="4"/>
  <c r="A154" i="4"/>
  <c r="A153" i="4"/>
  <c r="A152" i="4"/>
  <c r="A151" i="4"/>
  <c r="H24" i="6"/>
  <c r="H25" i="6" s="1"/>
  <c r="N120" i="4"/>
  <c r="O8" i="6"/>
  <c r="E24" i="6" s="1"/>
  <c r="K63" i="8" l="1"/>
  <c r="O45" i="8"/>
  <c r="M63" i="8"/>
  <c r="I45" i="8"/>
  <c r="I63" i="8"/>
  <c r="N79" i="8"/>
  <c r="Q45" i="8"/>
  <c r="Q63" i="8"/>
  <c r="I79" i="8"/>
  <c r="I11" i="6"/>
  <c r="T69" i="8" l="1"/>
  <c r="P79" i="8"/>
  <c r="L75" i="8"/>
  <c r="T76" i="8"/>
  <c r="R74" i="8"/>
  <c r="R77" i="8"/>
  <c r="T74" i="8"/>
  <c r="P76" i="8"/>
  <c r="T77" i="8"/>
  <c r="R76" i="8"/>
  <c r="P78" i="8"/>
  <c r="P74" i="8"/>
  <c r="T78" i="8"/>
  <c r="P77" i="8"/>
  <c r="R78" i="8"/>
  <c r="T75" i="8"/>
  <c r="R75" i="8"/>
  <c r="P75" i="8"/>
  <c r="M11" i="6"/>
  <c r="O11" i="6" s="1"/>
  <c r="H39" i="6" s="1"/>
  <c r="M219" i="5"/>
  <c r="L78" i="8"/>
  <c r="L74" i="8"/>
  <c r="L76" i="8"/>
  <c r="L77" i="8"/>
  <c r="N77" i="8"/>
  <c r="N78" i="8"/>
  <c r="Q69" i="8" s="1"/>
  <c r="Q88" i="8" s="1"/>
  <c r="N74" i="8"/>
  <c r="N76" i="8"/>
  <c r="N75" i="8"/>
  <c r="L131" i="4"/>
  <c r="K69" i="8" l="1"/>
  <c r="K88" i="8" s="1"/>
  <c r="I112" i="5" s="1"/>
  <c r="O69" i="8"/>
  <c r="O88" i="8" s="1"/>
  <c r="K112" i="5" s="1"/>
  <c r="L247" i="5"/>
  <c r="H53" i="6"/>
  <c r="J39" i="6"/>
  <c r="X39" i="6"/>
  <c r="T39" i="6"/>
  <c r="D39" i="6"/>
  <c r="N39" i="6"/>
  <c r="F39" i="6"/>
  <c r="P39" i="6"/>
  <c r="L39" i="6"/>
  <c r="R39" i="6"/>
  <c r="B39" i="6"/>
  <c r="V39" i="6"/>
  <c r="L112" i="5"/>
  <c r="I69" i="8"/>
  <c r="I88" i="8" s="1"/>
  <c r="M69" i="8"/>
  <c r="M88" i="8" s="1"/>
  <c r="A64" i="4"/>
  <c r="A65" i="4"/>
  <c r="A57" i="4"/>
  <c r="A58" i="4"/>
  <c r="A59" i="4"/>
  <c r="A56" i="4"/>
  <c r="G120" i="4"/>
  <c r="C42" i="4"/>
  <c r="J42" i="4" s="1"/>
  <c r="C43" i="4"/>
  <c r="J43" i="4" s="1"/>
  <c r="C44" i="4"/>
  <c r="J44" i="4" s="1"/>
  <c r="C49" i="4"/>
  <c r="J49" i="4" s="1"/>
  <c r="C50" i="4"/>
  <c r="J50" i="4" s="1"/>
  <c r="C41" i="4"/>
  <c r="J41" i="4" s="1"/>
  <c r="L43" i="4"/>
  <c r="M43" i="4" s="1"/>
  <c r="S43" i="4" s="1"/>
  <c r="L44" i="4"/>
  <c r="M44" i="4" s="1"/>
  <c r="S44" i="4" s="1"/>
  <c r="L50" i="4"/>
  <c r="M50" i="4" s="1"/>
  <c r="S50" i="4" s="1"/>
  <c r="L49" i="4"/>
  <c r="M49" i="4" s="1"/>
  <c r="S49" i="4" s="1"/>
  <c r="L42" i="4"/>
  <c r="M42" i="4" s="1"/>
  <c r="S42" i="4" s="1"/>
  <c r="L41" i="4"/>
  <c r="M41" i="4" s="1"/>
  <c r="S41" i="4" s="1"/>
  <c r="E101" i="4"/>
  <c r="AF49" i="4" l="1"/>
  <c r="AL49" i="4"/>
  <c r="AK49" i="4"/>
  <c r="AG49" i="4"/>
  <c r="AC49" i="4"/>
  <c r="AM49" i="4"/>
  <c r="AJ49" i="4"/>
  <c r="AE49" i="4"/>
  <c r="AD49" i="4"/>
  <c r="AN49" i="4"/>
  <c r="AO49" i="4" s="1"/>
  <c r="AH49" i="4"/>
  <c r="AD41" i="4"/>
  <c r="AC41" i="4"/>
  <c r="AM41" i="4"/>
  <c r="AK41" i="4"/>
  <c r="J467" i="5"/>
  <c r="J315" i="5"/>
  <c r="J391" i="5"/>
  <c r="L248" i="5"/>
  <c r="N247" i="5"/>
  <c r="L53" i="6"/>
  <c r="M247" i="5"/>
  <c r="J53" i="6"/>
  <c r="S247" i="5"/>
  <c r="V53" i="6"/>
  <c r="P247" i="5"/>
  <c r="P53" i="6"/>
  <c r="J247" i="5"/>
  <c r="D53" i="6"/>
  <c r="I247" i="5"/>
  <c r="B53" i="6"/>
  <c r="K247" i="5"/>
  <c r="F53" i="6"/>
  <c r="R247" i="5"/>
  <c r="T53" i="6"/>
  <c r="Q247" i="5"/>
  <c r="R53" i="6"/>
  <c r="O247" i="5"/>
  <c r="N53" i="6"/>
  <c r="T247" i="5"/>
  <c r="X53" i="6"/>
  <c r="B46" i="6"/>
  <c r="AG41" i="4"/>
  <c r="AF41" i="4"/>
  <c r="AE41" i="4"/>
  <c r="AN41" i="4"/>
  <c r="AO41" i="4" s="1"/>
  <c r="AL41" i="4"/>
  <c r="AJ41" i="4"/>
  <c r="AH41" i="4"/>
  <c r="AO50" i="4"/>
  <c r="AM50" i="4"/>
  <c r="AK50" i="4"/>
  <c r="A107" i="4"/>
  <c r="I149" i="5"/>
  <c r="A108" i="4"/>
  <c r="I150" i="5"/>
  <c r="A114" i="4"/>
  <c r="A110" i="4"/>
  <c r="I152" i="5"/>
  <c r="A116" i="4"/>
  <c r="I158" i="5"/>
  <c r="A109" i="4"/>
  <c r="I151" i="5"/>
  <c r="A115" i="4"/>
  <c r="J112" i="5"/>
  <c r="H112" i="5"/>
  <c r="T88" i="8"/>
  <c r="M467" i="5" l="1"/>
  <c r="M315" i="5"/>
  <c r="P467" i="5"/>
  <c r="P315" i="5"/>
  <c r="G467" i="5"/>
  <c r="G315" i="5"/>
  <c r="N467" i="5"/>
  <c r="N315" i="5"/>
  <c r="K467" i="5"/>
  <c r="K315" i="5"/>
  <c r="J468" i="5"/>
  <c r="J316" i="5"/>
  <c r="R467" i="5"/>
  <c r="R315" i="5"/>
  <c r="O467" i="5"/>
  <c r="O315" i="5"/>
  <c r="I467" i="5"/>
  <c r="I315" i="5"/>
  <c r="H467" i="5"/>
  <c r="H315" i="5"/>
  <c r="Q467" i="5"/>
  <c r="Q315" i="5"/>
  <c r="L467" i="5"/>
  <c r="L315" i="5"/>
  <c r="R391" i="5"/>
  <c r="O391" i="5"/>
  <c r="N391" i="5"/>
  <c r="K391" i="5"/>
  <c r="I391" i="5"/>
  <c r="M391" i="5"/>
  <c r="Q391" i="5"/>
  <c r="L391" i="5"/>
  <c r="P391" i="5"/>
  <c r="G391" i="5"/>
  <c r="J392" i="5"/>
  <c r="H391" i="5"/>
  <c r="S248" i="5"/>
  <c r="T248" i="5"/>
  <c r="R248" i="5"/>
  <c r="N248" i="5"/>
  <c r="O248" i="5"/>
  <c r="I248" i="5"/>
  <c r="M248" i="5"/>
  <c r="P248" i="5"/>
  <c r="Q248" i="5"/>
  <c r="K248" i="5"/>
  <c r="B58" i="6"/>
  <c r="K261" i="5" s="1"/>
  <c r="P297" i="5" s="1"/>
  <c r="J248" i="5"/>
  <c r="A138" i="4"/>
  <c r="A169" i="4" s="1"/>
  <c r="R124" i="4"/>
  <c r="J128" i="4"/>
  <c r="R128" i="4"/>
  <c r="J121" i="4"/>
  <c r="I168" i="5" s="1"/>
  <c r="R121" i="4"/>
  <c r="A137" i="4"/>
  <c r="R123" i="4"/>
  <c r="A144" i="4"/>
  <c r="A172" i="4" s="1"/>
  <c r="R130" i="4"/>
  <c r="A136" i="4"/>
  <c r="R122" i="4"/>
  <c r="A135" i="4"/>
  <c r="A143" i="4"/>
  <c r="A171" i="4" s="1"/>
  <c r="R129" i="4"/>
  <c r="I261" i="5"/>
  <c r="J124" i="4"/>
  <c r="I171" i="5" s="1"/>
  <c r="A142" i="4"/>
  <c r="A170" i="4" s="1"/>
  <c r="J123" i="4"/>
  <c r="I170" i="5" s="1"/>
  <c r="J122" i="4"/>
  <c r="I169" i="5" s="1"/>
  <c r="X64" i="4"/>
  <c r="X115" i="4" s="1"/>
  <c r="N64" i="4"/>
  <c r="N115" i="4" s="1"/>
  <c r="P64" i="4"/>
  <c r="P115" i="4" s="1"/>
  <c r="B64" i="4"/>
  <c r="B115" i="4" s="1"/>
  <c r="R64" i="4"/>
  <c r="R115" i="4" s="1"/>
  <c r="D64" i="4"/>
  <c r="D115" i="4" s="1"/>
  <c r="T64" i="4"/>
  <c r="T115" i="4" s="1"/>
  <c r="F64" i="4"/>
  <c r="F115" i="4" s="1"/>
  <c r="V64" i="4"/>
  <c r="V115" i="4" s="1"/>
  <c r="H64" i="4"/>
  <c r="H115" i="4" s="1"/>
  <c r="J64" i="4"/>
  <c r="J115" i="4" s="1"/>
  <c r="L64" i="4"/>
  <c r="L115" i="4" s="1"/>
  <c r="J130" i="4"/>
  <c r="I177" i="5" s="1"/>
  <c r="F57" i="4"/>
  <c r="F108" i="4" s="1"/>
  <c r="V57" i="4"/>
  <c r="V108" i="4" s="1"/>
  <c r="L57" i="4"/>
  <c r="L108" i="4" s="1"/>
  <c r="J57" i="4"/>
  <c r="J108" i="4" s="1"/>
  <c r="P57" i="4"/>
  <c r="P108" i="4" s="1"/>
  <c r="N57" i="4"/>
  <c r="N108" i="4" s="1"/>
  <c r="D57" i="4"/>
  <c r="D108" i="4" s="1"/>
  <c r="T57" i="4"/>
  <c r="T108" i="4" s="1"/>
  <c r="X57" i="4"/>
  <c r="X108" i="4" s="1"/>
  <c r="B57" i="4"/>
  <c r="B108" i="4" s="1"/>
  <c r="R57" i="4"/>
  <c r="R108" i="4" s="1"/>
  <c r="H57" i="4"/>
  <c r="H108" i="4" s="1"/>
  <c r="R56" i="4"/>
  <c r="R107" i="4" s="1"/>
  <c r="B56" i="4"/>
  <c r="B107" i="4" s="1"/>
  <c r="T56" i="4"/>
  <c r="T107" i="4" s="1"/>
  <c r="D56" i="4"/>
  <c r="D107" i="4" s="1"/>
  <c r="V56" i="4"/>
  <c r="N56" i="4"/>
  <c r="N107" i="4" s="1"/>
  <c r="F56" i="4"/>
  <c r="F107" i="4" s="1"/>
  <c r="P56" i="4"/>
  <c r="P107" i="4" s="1"/>
  <c r="H56" i="4"/>
  <c r="H107" i="4" s="1"/>
  <c r="N65" i="4"/>
  <c r="N116" i="4" s="1"/>
  <c r="F65" i="4"/>
  <c r="F116" i="4" s="1"/>
  <c r="R65" i="4"/>
  <c r="R116" i="4" s="1"/>
  <c r="D65" i="4"/>
  <c r="D116" i="4" s="1"/>
  <c r="P65" i="4"/>
  <c r="P116" i="4" s="1"/>
  <c r="B65" i="4"/>
  <c r="B116" i="4" s="1"/>
  <c r="J129" i="4"/>
  <c r="F58" i="4"/>
  <c r="F109" i="4" s="1"/>
  <c r="G95" i="8"/>
  <c r="I95" i="8" s="1"/>
  <c r="N112" i="5"/>
  <c r="C101" i="4"/>
  <c r="T467" i="5" l="1"/>
  <c r="K468" i="5"/>
  <c r="K316" i="5"/>
  <c r="P468" i="5"/>
  <c r="P316" i="5"/>
  <c r="I468" i="5"/>
  <c r="I316" i="5"/>
  <c r="G468" i="5"/>
  <c r="G316" i="5"/>
  <c r="R468" i="5"/>
  <c r="R316" i="5"/>
  <c r="O468" i="5"/>
  <c r="O316" i="5"/>
  <c r="M468" i="5"/>
  <c r="M316" i="5"/>
  <c r="Q468" i="5"/>
  <c r="Q316" i="5"/>
  <c r="T315" i="5"/>
  <c r="H468" i="5"/>
  <c r="H316" i="5"/>
  <c r="N468" i="5"/>
  <c r="N316" i="5"/>
  <c r="L468" i="5"/>
  <c r="L316" i="5"/>
  <c r="M392" i="5"/>
  <c r="R392" i="5"/>
  <c r="O392" i="5"/>
  <c r="G392" i="5"/>
  <c r="I392" i="5"/>
  <c r="N392" i="5"/>
  <c r="L392" i="5"/>
  <c r="Q392" i="5"/>
  <c r="T391" i="5"/>
  <c r="H392" i="5"/>
  <c r="K392" i="5"/>
  <c r="P392" i="5"/>
  <c r="P449" i="5"/>
  <c r="P373" i="5"/>
  <c r="V107" i="4"/>
  <c r="P58" i="4"/>
  <c r="P109" i="4" s="1"/>
  <c r="D63" i="4"/>
  <c r="D114" i="4" s="1"/>
  <c r="N63" i="4"/>
  <c r="N114" i="4" s="1"/>
  <c r="B63" i="4"/>
  <c r="B114" i="4" s="1"/>
  <c r="P63" i="4"/>
  <c r="P114" i="4" s="1"/>
  <c r="B58" i="4"/>
  <c r="B109" i="4" s="1"/>
  <c r="N58" i="4"/>
  <c r="N109" i="4" s="1"/>
  <c r="D58" i="4"/>
  <c r="D109" i="4" s="1"/>
  <c r="R58" i="4"/>
  <c r="R109" i="4" s="1"/>
  <c r="I96" i="8"/>
  <c r="J122" i="5" s="1"/>
  <c r="J121" i="5"/>
  <c r="I71" i="4"/>
  <c r="I73" i="4" s="1"/>
  <c r="F73" i="4" s="1"/>
  <c r="H42" i="4"/>
  <c r="H43" i="4"/>
  <c r="H50" i="4"/>
  <c r="H41" i="4"/>
  <c r="S26" i="4"/>
  <c r="S27" i="4"/>
  <c r="S28" i="4"/>
  <c r="S32" i="4"/>
  <c r="S33" i="4"/>
  <c r="S34" i="4"/>
  <c r="R26" i="4"/>
  <c r="R27" i="4"/>
  <c r="R28" i="4"/>
  <c r="R32" i="4"/>
  <c r="R33" i="4"/>
  <c r="R34" i="4"/>
  <c r="Q26" i="4"/>
  <c r="Q27" i="4"/>
  <c r="Q28" i="4"/>
  <c r="Q32" i="4"/>
  <c r="Q33" i="4"/>
  <c r="Q34" i="4"/>
  <c r="Q25" i="4"/>
  <c r="R25" i="4"/>
  <c r="S25" i="4"/>
  <c r="P26" i="4"/>
  <c r="P27" i="4"/>
  <c r="P28" i="4"/>
  <c r="P32" i="4"/>
  <c r="P33" i="4"/>
  <c r="P34" i="4"/>
  <c r="P25" i="4"/>
  <c r="K26" i="4"/>
  <c r="K27" i="4"/>
  <c r="K28" i="4"/>
  <c r="K32" i="4"/>
  <c r="K33" i="4"/>
  <c r="K34" i="4"/>
  <c r="T468" i="5" l="1"/>
  <c r="T316" i="5"/>
  <c r="T392" i="5"/>
  <c r="K464" i="5"/>
  <c r="K463" i="5" s="1"/>
  <c r="O464" i="5"/>
  <c r="O463" i="5" s="1"/>
  <c r="G464" i="5"/>
  <c r="H464" i="5"/>
  <c r="H463" i="5" s="1"/>
  <c r="P464" i="5"/>
  <c r="P463" i="5" s="1"/>
  <c r="Q464" i="5"/>
  <c r="Q463" i="5" s="1"/>
  <c r="L464" i="5"/>
  <c r="L463" i="5" s="1"/>
  <c r="I464" i="5"/>
  <c r="I463" i="5" s="1"/>
  <c r="M464" i="5"/>
  <c r="M463" i="5" s="1"/>
  <c r="J464" i="5"/>
  <c r="J463" i="5" s="1"/>
  <c r="N464" i="5"/>
  <c r="N463" i="5" s="1"/>
  <c r="R464" i="5"/>
  <c r="R463" i="5" s="1"/>
  <c r="L449" i="5"/>
  <c r="R449" i="5" s="1"/>
  <c r="H26" i="4"/>
  <c r="I26" i="4"/>
  <c r="H28" i="4"/>
  <c r="H33" i="4"/>
  <c r="I33" i="4"/>
  <c r="I34" i="4"/>
  <c r="H27" i="4"/>
  <c r="I27" i="4"/>
  <c r="H34" i="4"/>
  <c r="H32" i="4"/>
  <c r="I32" i="4"/>
  <c r="J26" i="4"/>
  <c r="J27" i="4"/>
  <c r="J28" i="4"/>
  <c r="J32" i="4"/>
  <c r="J33" i="4"/>
  <c r="J34" i="4"/>
  <c r="I28" i="4"/>
  <c r="N20" i="5"/>
  <c r="L20" i="5"/>
  <c r="J20" i="5"/>
  <c r="J18" i="1"/>
  <c r="H470" i="5" l="1"/>
  <c r="H469" i="5" s="1"/>
  <c r="L470" i="5"/>
  <c r="L469" i="5" s="1"/>
  <c r="P470" i="5"/>
  <c r="P469" i="5" s="1"/>
  <c r="I470" i="5"/>
  <c r="I469" i="5" s="1"/>
  <c r="M470" i="5"/>
  <c r="M469" i="5" s="1"/>
  <c r="Q470" i="5"/>
  <c r="Q469" i="5" s="1"/>
  <c r="J470" i="5"/>
  <c r="J469" i="5" s="1"/>
  <c r="N470" i="5"/>
  <c r="N469" i="5" s="1"/>
  <c r="R470" i="5"/>
  <c r="R469" i="5" s="1"/>
  <c r="K470" i="5"/>
  <c r="K469" i="5" s="1"/>
  <c r="O470" i="5"/>
  <c r="O469" i="5" s="1"/>
  <c r="G470" i="5"/>
  <c r="T464" i="5"/>
  <c r="G463" i="5"/>
  <c r="T463" i="5" s="1"/>
  <c r="T33" i="4"/>
  <c r="E49" i="4" s="1"/>
  <c r="T26" i="4"/>
  <c r="E42" i="4" s="1"/>
  <c r="T28" i="4"/>
  <c r="U28" i="4" s="1"/>
  <c r="U26" i="4"/>
  <c r="U33" i="4"/>
  <c r="T27" i="4"/>
  <c r="T32" i="4"/>
  <c r="T34" i="4"/>
  <c r="G192" i="5"/>
  <c r="G206" i="5" s="1"/>
  <c r="A39" i="6"/>
  <c r="R20" i="1"/>
  <c r="A145" i="4"/>
  <c r="A164" i="4" s="1"/>
  <c r="U27" i="4"/>
  <c r="K25" i="4"/>
  <c r="J25" i="4"/>
  <c r="I25" i="4"/>
  <c r="R19" i="1"/>
  <c r="K18" i="1"/>
  <c r="N20" i="1"/>
  <c r="N19" i="1"/>
  <c r="N18" i="1"/>
  <c r="E33" i="1"/>
  <c r="E24" i="1"/>
  <c r="G33" i="1" s="1"/>
  <c r="G469" i="5" l="1"/>
  <c r="T469" i="5" s="1"/>
  <c r="T470" i="5"/>
  <c r="U32" i="4"/>
  <c r="E48" i="4"/>
  <c r="O48" i="4" s="1"/>
  <c r="P48" i="4" s="1"/>
  <c r="X63" i="4" s="1"/>
  <c r="X114" i="4" s="1"/>
  <c r="Q47" i="8"/>
  <c r="L91" i="5" s="1"/>
  <c r="K47" i="8"/>
  <c r="I91" i="5" s="1"/>
  <c r="M47" i="8"/>
  <c r="J91" i="5" s="1"/>
  <c r="O47" i="8"/>
  <c r="K91" i="5" s="1"/>
  <c r="I47" i="8"/>
  <c r="T25" i="4"/>
  <c r="U25" i="4" s="1"/>
  <c r="E50" i="4"/>
  <c r="O50" i="4" s="1"/>
  <c r="P50" i="4" s="1"/>
  <c r="U34" i="4"/>
  <c r="A46" i="6"/>
  <c r="A58" i="6" s="1"/>
  <c r="G247" i="5"/>
  <c r="A158" i="4"/>
  <c r="A176" i="4" s="1"/>
  <c r="A173" i="4"/>
  <c r="G194" i="5"/>
  <c r="G208" i="5" s="1"/>
  <c r="A40" i="6"/>
  <c r="A54" i="6" s="1"/>
  <c r="G196" i="5"/>
  <c r="G210" i="5" s="1"/>
  <c r="A41" i="6"/>
  <c r="A146" i="4"/>
  <c r="A165" i="4" s="1"/>
  <c r="K20" i="1"/>
  <c r="A147" i="4"/>
  <c r="A166" i="4" s="1"/>
  <c r="E44" i="4"/>
  <c r="O44" i="4" s="1"/>
  <c r="P44" i="4" s="1"/>
  <c r="E43" i="4"/>
  <c r="O43" i="4" s="1"/>
  <c r="P43" i="4" s="1"/>
  <c r="O49" i="4"/>
  <c r="P49" i="4" s="1"/>
  <c r="O42" i="4"/>
  <c r="P42" i="4" s="1"/>
  <c r="O20" i="1"/>
  <c r="G139" i="5"/>
  <c r="K19" i="1"/>
  <c r="G137" i="5"/>
  <c r="O19" i="1"/>
  <c r="L447" i="5"/>
  <c r="L371" i="5"/>
  <c r="G261" i="5" l="1"/>
  <c r="G278" i="5"/>
  <c r="D492" i="5"/>
  <c r="D464" i="5"/>
  <c r="D478" i="5"/>
  <c r="Q90" i="8"/>
  <c r="L114" i="5" s="1"/>
  <c r="O90" i="8"/>
  <c r="K114" i="5" s="1"/>
  <c r="K90" i="8"/>
  <c r="I114" i="5" s="1"/>
  <c r="I90" i="8"/>
  <c r="M90" i="8"/>
  <c r="J114" i="5" s="1"/>
  <c r="H91" i="5"/>
  <c r="T47" i="8"/>
  <c r="K49" i="8"/>
  <c r="I93" i="5" s="1"/>
  <c r="I49" i="8"/>
  <c r="M49" i="8"/>
  <c r="J93" i="5" s="1"/>
  <c r="O49" i="8"/>
  <c r="K93" i="5" s="1"/>
  <c r="Q49" i="8"/>
  <c r="L93" i="5" s="1"/>
  <c r="O89" i="8"/>
  <c r="K113" i="5" s="1"/>
  <c r="Q89" i="8"/>
  <c r="L113" i="5" s="1"/>
  <c r="K89" i="8"/>
  <c r="I113" i="5" s="1"/>
  <c r="M89" i="8"/>
  <c r="J113" i="5" s="1"/>
  <c r="I89" i="8"/>
  <c r="Q48" i="8"/>
  <c r="L92" i="5" s="1"/>
  <c r="K48" i="8"/>
  <c r="I92" i="5" s="1"/>
  <c r="I48" i="8"/>
  <c r="M48" i="8"/>
  <c r="J92" i="5" s="1"/>
  <c r="O48" i="8"/>
  <c r="K92" i="5" s="1"/>
  <c r="D416" i="5"/>
  <c r="D388" i="5"/>
  <c r="D402" i="5"/>
  <c r="E41" i="4"/>
  <c r="O41" i="4" s="1"/>
  <c r="P41" i="4" s="1"/>
  <c r="X56" i="4" s="1"/>
  <c r="X107" i="4" s="1"/>
  <c r="T63" i="4"/>
  <c r="T114" i="4" s="1"/>
  <c r="L63" i="4"/>
  <c r="L114" i="4" s="1"/>
  <c r="J63" i="4"/>
  <c r="J114" i="4" s="1"/>
  <c r="H63" i="4"/>
  <c r="H114" i="4" s="1"/>
  <c r="V63" i="4"/>
  <c r="V114" i="4" s="1"/>
  <c r="F63" i="4"/>
  <c r="F114" i="4" s="1"/>
  <c r="R63" i="4"/>
  <c r="R114" i="4" s="1"/>
  <c r="X65" i="4"/>
  <c r="X116" i="4" s="1"/>
  <c r="H65" i="4"/>
  <c r="H116" i="4" s="1"/>
  <c r="T65" i="4"/>
  <c r="T116" i="4" s="1"/>
  <c r="L65" i="4"/>
  <c r="L116" i="4" s="1"/>
  <c r="J65" i="4"/>
  <c r="J116" i="4" s="1"/>
  <c r="V65" i="4"/>
  <c r="V116" i="4" s="1"/>
  <c r="T58" i="4"/>
  <c r="T109" i="4" s="1"/>
  <c r="J58" i="4"/>
  <c r="J109" i="4" s="1"/>
  <c r="V58" i="4"/>
  <c r="V109" i="4" s="1"/>
  <c r="X58" i="4"/>
  <c r="X109" i="4" s="1"/>
  <c r="H58" i="4"/>
  <c r="H109" i="4" s="1"/>
  <c r="L58" i="4"/>
  <c r="L109" i="4" s="1"/>
  <c r="L59" i="4"/>
  <c r="L110" i="4" s="1"/>
  <c r="J59" i="4"/>
  <c r="J110" i="4" s="1"/>
  <c r="T59" i="4"/>
  <c r="T110" i="4" s="1"/>
  <c r="B59" i="4"/>
  <c r="B110" i="4" s="1"/>
  <c r="F59" i="4"/>
  <c r="F110" i="4" s="1"/>
  <c r="H59" i="4"/>
  <c r="H110" i="4" s="1"/>
  <c r="R59" i="4"/>
  <c r="R110" i="4" s="1"/>
  <c r="N59" i="4"/>
  <c r="N110" i="4" s="1"/>
  <c r="D59" i="4"/>
  <c r="D110" i="4" s="1"/>
  <c r="P59" i="4"/>
  <c r="P110" i="4" s="1"/>
  <c r="V59" i="4"/>
  <c r="V110" i="4" s="1"/>
  <c r="X59" i="4"/>
  <c r="X110" i="4" s="1"/>
  <c r="A47" i="6"/>
  <c r="A59" i="6" s="1"/>
  <c r="G249" i="5"/>
  <c r="A48" i="6"/>
  <c r="A60" i="6" s="1"/>
  <c r="G251" i="5"/>
  <c r="A160" i="4"/>
  <c r="A178" i="4" s="1"/>
  <c r="A175" i="4"/>
  <c r="A159" i="4"/>
  <c r="A177" i="4" s="1"/>
  <c r="A174" i="4"/>
  <c r="X41" i="6"/>
  <c r="V41" i="6"/>
  <c r="H41" i="6"/>
  <c r="R41" i="6"/>
  <c r="D41" i="6"/>
  <c r="N41" i="6"/>
  <c r="F41" i="6"/>
  <c r="J41" i="6"/>
  <c r="T41" i="6"/>
  <c r="B41" i="6"/>
  <c r="L41" i="6"/>
  <c r="P41" i="6"/>
  <c r="D40" i="6"/>
  <c r="X40" i="6"/>
  <c r="R40" i="6"/>
  <c r="V40" i="6"/>
  <c r="H40" i="6"/>
  <c r="L40" i="6"/>
  <c r="F40" i="6"/>
  <c r="N40" i="6"/>
  <c r="J40" i="6"/>
  <c r="P40" i="6"/>
  <c r="T40" i="6"/>
  <c r="B40" i="6"/>
  <c r="J447" i="5"/>
  <c r="L68" i="5"/>
  <c r="L89" i="5" s="1"/>
  <c r="L111" i="5" s="1"/>
  <c r="K68" i="5"/>
  <c r="K89" i="5" s="1"/>
  <c r="K111" i="5" s="1"/>
  <c r="J68" i="5"/>
  <c r="J89" i="5" s="1"/>
  <c r="J111" i="5" s="1"/>
  <c r="I68" i="5"/>
  <c r="I89" i="5" s="1"/>
  <c r="I111" i="5" s="1"/>
  <c r="H68" i="5"/>
  <c r="H89" i="5" s="1"/>
  <c r="H111" i="5" s="1"/>
  <c r="G263" i="5" l="1"/>
  <c r="G280" i="5"/>
  <c r="G265" i="5"/>
  <c r="G282" i="5"/>
  <c r="R249" i="5"/>
  <c r="P329" i="5" s="1"/>
  <c r="T54" i="6"/>
  <c r="Q249" i="5"/>
  <c r="O329" i="5" s="1"/>
  <c r="R54" i="6"/>
  <c r="N251" i="5"/>
  <c r="L343" i="5" s="1"/>
  <c r="L55" i="6"/>
  <c r="L251" i="5"/>
  <c r="J343" i="5" s="1"/>
  <c r="H55" i="6"/>
  <c r="P249" i="5"/>
  <c r="N329" i="5" s="1"/>
  <c r="P54" i="6"/>
  <c r="N249" i="5"/>
  <c r="L54" i="6"/>
  <c r="T249" i="5"/>
  <c r="R329" i="5" s="1"/>
  <c r="X54" i="6"/>
  <c r="I251" i="5"/>
  <c r="G343" i="5" s="1"/>
  <c r="B55" i="6"/>
  <c r="O251" i="5"/>
  <c r="M343" i="5" s="1"/>
  <c r="N55" i="6"/>
  <c r="S251" i="5"/>
  <c r="Q343" i="5" s="1"/>
  <c r="V55" i="6"/>
  <c r="M249" i="5"/>
  <c r="K329" i="5" s="1"/>
  <c r="J54" i="6"/>
  <c r="L249" i="5"/>
  <c r="J329" i="5" s="1"/>
  <c r="H54" i="6"/>
  <c r="J249" i="5"/>
  <c r="H329" i="5" s="1"/>
  <c r="D54" i="6"/>
  <c r="R251" i="5"/>
  <c r="P343" i="5" s="1"/>
  <c r="T55" i="6"/>
  <c r="J251" i="5"/>
  <c r="H343" i="5" s="1"/>
  <c r="D55" i="6"/>
  <c r="T251" i="5"/>
  <c r="X55" i="6"/>
  <c r="I249" i="5"/>
  <c r="G329" i="5" s="1"/>
  <c r="B54" i="6"/>
  <c r="O249" i="5"/>
  <c r="M329" i="5" s="1"/>
  <c r="N54" i="6"/>
  <c r="S249" i="5"/>
  <c r="Q329" i="5" s="1"/>
  <c r="V54" i="6"/>
  <c r="P251" i="5"/>
  <c r="N343" i="5" s="1"/>
  <c r="P55" i="6"/>
  <c r="M251" i="5"/>
  <c r="K343" i="5" s="1"/>
  <c r="J55" i="6"/>
  <c r="Q251" i="5"/>
  <c r="O343" i="5" s="1"/>
  <c r="R55" i="6"/>
  <c r="K249" i="5"/>
  <c r="I329" i="5" s="1"/>
  <c r="F54" i="6"/>
  <c r="K251" i="5"/>
  <c r="I343" i="5" s="1"/>
  <c r="F55" i="6"/>
  <c r="H114" i="5"/>
  <c r="T90" i="8"/>
  <c r="H93" i="5"/>
  <c r="T49" i="8"/>
  <c r="G54" i="8"/>
  <c r="I54" i="8" s="1"/>
  <c r="N91" i="5"/>
  <c r="H113" i="5"/>
  <c r="T89" i="8"/>
  <c r="H92" i="5"/>
  <c r="T48" i="8"/>
  <c r="I252" i="5"/>
  <c r="G344" i="5" s="1"/>
  <c r="L56" i="4"/>
  <c r="L107" i="4" s="1"/>
  <c r="J56" i="4"/>
  <c r="J107" i="4" s="1"/>
  <c r="B48" i="6"/>
  <c r="B47" i="6"/>
  <c r="J371" i="5"/>
  <c r="E39" i="1"/>
  <c r="E37" i="1"/>
  <c r="E35" i="1"/>
  <c r="F22" i="5" s="1"/>
  <c r="H297" i="5" s="1"/>
  <c r="E356" i="5" s="1"/>
  <c r="H18" i="1"/>
  <c r="K12" i="5" l="1"/>
  <c r="T252" i="5"/>
  <c r="R344" i="5" s="1"/>
  <c r="R343" i="5"/>
  <c r="T343" i="5" s="1"/>
  <c r="N250" i="5"/>
  <c r="L330" i="5" s="1"/>
  <c r="L329" i="5"/>
  <c r="T329" i="5" s="1"/>
  <c r="K419" i="5"/>
  <c r="K495" i="5"/>
  <c r="H419" i="5"/>
  <c r="H495" i="5"/>
  <c r="M419" i="5"/>
  <c r="M495" i="5"/>
  <c r="P405" i="5"/>
  <c r="P481" i="5"/>
  <c r="Q405" i="5"/>
  <c r="Q481" i="5"/>
  <c r="G405" i="5"/>
  <c r="G481" i="5"/>
  <c r="K405" i="5"/>
  <c r="K481" i="5"/>
  <c r="N405" i="5"/>
  <c r="N481" i="5"/>
  <c r="I419" i="5"/>
  <c r="I495" i="5"/>
  <c r="O419" i="5"/>
  <c r="O495" i="5"/>
  <c r="N419" i="5"/>
  <c r="N495" i="5"/>
  <c r="M405" i="5"/>
  <c r="M481" i="5"/>
  <c r="R419" i="5"/>
  <c r="R495" i="5"/>
  <c r="P419" i="5"/>
  <c r="P495" i="5"/>
  <c r="J405" i="5"/>
  <c r="J481" i="5"/>
  <c r="Q419" i="5"/>
  <c r="Q495" i="5"/>
  <c r="G419" i="5"/>
  <c r="G495" i="5"/>
  <c r="L405" i="5"/>
  <c r="L481" i="5"/>
  <c r="J419" i="5"/>
  <c r="J495" i="5"/>
  <c r="O405" i="5"/>
  <c r="O481" i="5"/>
  <c r="I405" i="5"/>
  <c r="I481" i="5"/>
  <c r="H405" i="5"/>
  <c r="H481" i="5"/>
  <c r="R405" i="5"/>
  <c r="R481" i="5"/>
  <c r="L419" i="5"/>
  <c r="L495" i="5"/>
  <c r="G420" i="5"/>
  <c r="G496" i="5"/>
  <c r="O250" i="5"/>
  <c r="M330" i="5" s="1"/>
  <c r="R252" i="5"/>
  <c r="P344" i="5" s="1"/>
  <c r="L250" i="5"/>
  <c r="J330" i="5" s="1"/>
  <c r="L252" i="5"/>
  <c r="J344" i="5" s="1"/>
  <c r="Q250" i="5"/>
  <c r="O330" i="5" s="1"/>
  <c r="S252" i="5"/>
  <c r="Q344" i="5" s="1"/>
  <c r="P252" i="5"/>
  <c r="N344" i="5" s="1"/>
  <c r="Q252" i="5"/>
  <c r="O344" i="5" s="1"/>
  <c r="K252" i="5"/>
  <c r="I344" i="5" s="1"/>
  <c r="J252" i="5"/>
  <c r="H344" i="5" s="1"/>
  <c r="O252" i="5"/>
  <c r="M344" i="5" s="1"/>
  <c r="J250" i="5"/>
  <c r="H330" i="5" s="1"/>
  <c r="R250" i="5"/>
  <c r="P330" i="5" s="1"/>
  <c r="P250" i="5"/>
  <c r="N330" i="5" s="1"/>
  <c r="M250" i="5"/>
  <c r="K330" i="5" s="1"/>
  <c r="T250" i="5"/>
  <c r="R330" i="5" s="1"/>
  <c r="K250" i="5"/>
  <c r="I330" i="5" s="1"/>
  <c r="S250" i="5"/>
  <c r="Q330" i="5" s="1"/>
  <c r="B59" i="6"/>
  <c r="K263" i="5" s="1"/>
  <c r="P299" i="5" s="1"/>
  <c r="B60" i="6"/>
  <c r="K265" i="5" s="1"/>
  <c r="P301" i="5" s="1"/>
  <c r="N252" i="5"/>
  <c r="L344" i="5" s="1"/>
  <c r="M252" i="5"/>
  <c r="K344" i="5" s="1"/>
  <c r="I250" i="5"/>
  <c r="G330" i="5" s="1"/>
  <c r="C320" i="5"/>
  <c r="C472" i="5"/>
  <c r="C461" i="5"/>
  <c r="C396" i="5"/>
  <c r="C385" i="5"/>
  <c r="G99" i="8"/>
  <c r="I99" i="8" s="1"/>
  <c r="N114" i="5"/>
  <c r="J100" i="5"/>
  <c r="I55" i="8"/>
  <c r="J101" i="5" s="1"/>
  <c r="G58" i="8"/>
  <c r="I58" i="8" s="1"/>
  <c r="N93" i="5"/>
  <c r="N92" i="5"/>
  <c r="G56" i="8"/>
  <c r="I56" i="8" s="1"/>
  <c r="G97" i="8"/>
  <c r="I97" i="8" s="1"/>
  <c r="N113" i="5"/>
  <c r="C309" i="5"/>
  <c r="I263" i="5"/>
  <c r="I265" i="5"/>
  <c r="F24" i="1"/>
  <c r="F33" i="1" s="1"/>
  <c r="H449" i="5"/>
  <c r="E508" i="5" s="1"/>
  <c r="H373" i="5"/>
  <c r="E432" i="5" s="1"/>
  <c r="F26" i="5"/>
  <c r="H301" i="5" s="1"/>
  <c r="E360" i="5" s="1"/>
  <c r="F24" i="5"/>
  <c r="H299" i="5" s="1"/>
  <c r="E358" i="5" s="1"/>
  <c r="R496" i="5" l="1"/>
  <c r="T344" i="5"/>
  <c r="L482" i="5"/>
  <c r="R420" i="5"/>
  <c r="L406" i="5"/>
  <c r="T330" i="5"/>
  <c r="T405" i="5"/>
  <c r="T419" i="5"/>
  <c r="M406" i="5"/>
  <c r="M482" i="5"/>
  <c r="K420" i="5"/>
  <c r="K496" i="5"/>
  <c r="P406" i="5"/>
  <c r="P482" i="5"/>
  <c r="H406" i="5"/>
  <c r="H482" i="5"/>
  <c r="N420" i="5"/>
  <c r="N496" i="5"/>
  <c r="J406" i="5"/>
  <c r="J482" i="5"/>
  <c r="T495" i="5"/>
  <c r="G406" i="5"/>
  <c r="G482" i="5"/>
  <c r="H420" i="5"/>
  <c r="H496" i="5"/>
  <c r="J420" i="5"/>
  <c r="J496" i="5"/>
  <c r="L420" i="5"/>
  <c r="L496" i="5"/>
  <c r="Q406" i="5"/>
  <c r="Q482" i="5"/>
  <c r="R406" i="5"/>
  <c r="R482" i="5"/>
  <c r="M420" i="5"/>
  <c r="M496" i="5"/>
  <c r="I420" i="5"/>
  <c r="I496" i="5"/>
  <c r="Q420" i="5"/>
  <c r="Q496" i="5"/>
  <c r="N406" i="5"/>
  <c r="N482" i="5"/>
  <c r="I406" i="5"/>
  <c r="I482" i="5"/>
  <c r="K406" i="5"/>
  <c r="K482" i="5"/>
  <c r="O420" i="5"/>
  <c r="O496" i="5"/>
  <c r="O406" i="5"/>
  <c r="O482" i="5"/>
  <c r="P420" i="5"/>
  <c r="P496" i="5"/>
  <c r="T481" i="5"/>
  <c r="L373" i="5"/>
  <c r="R373" i="5" s="1"/>
  <c r="H388" i="5"/>
  <c r="L388" i="5"/>
  <c r="P388" i="5"/>
  <c r="I388" i="5"/>
  <c r="Q388" i="5"/>
  <c r="J388" i="5"/>
  <c r="N388" i="5"/>
  <c r="R388" i="5"/>
  <c r="K388" i="5"/>
  <c r="O388" i="5"/>
  <c r="G388" i="5"/>
  <c r="M388" i="5"/>
  <c r="C489" i="5"/>
  <c r="C500" i="5"/>
  <c r="C413" i="5"/>
  <c r="C424" i="5"/>
  <c r="I100" i="8"/>
  <c r="J126" i="5" s="1"/>
  <c r="J125" i="5"/>
  <c r="I59" i="8"/>
  <c r="J105" i="5" s="1"/>
  <c r="J104" i="5"/>
  <c r="J102" i="5"/>
  <c r="I57" i="8"/>
  <c r="J103" i="5" s="1"/>
  <c r="C475" i="5"/>
  <c r="C486" i="5"/>
  <c r="C410" i="5"/>
  <c r="C399" i="5"/>
  <c r="J123" i="5"/>
  <c r="I98" i="8"/>
  <c r="J124" i="5" s="1"/>
  <c r="C337" i="5"/>
  <c r="C348" i="5"/>
  <c r="C323" i="5"/>
  <c r="C334" i="5"/>
  <c r="P377" i="5"/>
  <c r="P453" i="5"/>
  <c r="P451" i="5"/>
  <c r="P375" i="5"/>
  <c r="M33" i="1"/>
  <c r="M34" i="1" s="1"/>
  <c r="F35" i="1"/>
  <c r="G12" i="9" s="1"/>
  <c r="I33" i="1"/>
  <c r="I34" i="1" s="1"/>
  <c r="K33" i="1"/>
  <c r="K34" i="1" s="1"/>
  <c r="F39" i="1"/>
  <c r="F37" i="1"/>
  <c r="H451" i="5"/>
  <c r="E510" i="5" s="1"/>
  <c r="H375" i="5"/>
  <c r="E434" i="5" s="1"/>
  <c r="H377" i="5"/>
  <c r="E436" i="5" s="1"/>
  <c r="H453" i="5"/>
  <c r="E512" i="5" s="1"/>
  <c r="I394" i="5" l="1"/>
  <c r="I393" i="5" s="1"/>
  <c r="M394" i="5"/>
  <c r="M393" i="5" s="1"/>
  <c r="Q394" i="5"/>
  <c r="Q393" i="5" s="1"/>
  <c r="K394" i="5"/>
  <c r="K393" i="5" s="1"/>
  <c r="O394" i="5"/>
  <c r="O393" i="5" s="1"/>
  <c r="G394" i="5"/>
  <c r="G393" i="5" s="1"/>
  <c r="H394" i="5"/>
  <c r="H393" i="5" s="1"/>
  <c r="L394" i="5"/>
  <c r="L393" i="5" s="1"/>
  <c r="P394" i="5"/>
  <c r="P393" i="5" s="1"/>
  <c r="J394" i="5"/>
  <c r="J393" i="5" s="1"/>
  <c r="N394" i="5"/>
  <c r="N393" i="5" s="1"/>
  <c r="R394" i="5"/>
  <c r="R393" i="5" s="1"/>
  <c r="T406" i="5"/>
  <c r="T420" i="5"/>
  <c r="T482" i="5"/>
  <c r="T496" i="5"/>
  <c r="L377" i="5"/>
  <c r="R377" i="5" s="1"/>
  <c r="H416" i="5"/>
  <c r="L416" i="5"/>
  <c r="P416" i="5"/>
  <c r="M416" i="5"/>
  <c r="J416" i="5"/>
  <c r="N416" i="5"/>
  <c r="R416" i="5"/>
  <c r="K416" i="5"/>
  <c r="O416" i="5"/>
  <c r="G416" i="5"/>
  <c r="I416" i="5"/>
  <c r="Q416" i="5"/>
  <c r="L375" i="5"/>
  <c r="R375" i="5" s="1"/>
  <c r="H402" i="5"/>
  <c r="L402" i="5"/>
  <c r="P402" i="5"/>
  <c r="I402" i="5"/>
  <c r="J402" i="5"/>
  <c r="N402" i="5"/>
  <c r="R402" i="5"/>
  <c r="K402" i="5"/>
  <c r="O402" i="5"/>
  <c r="G402" i="5"/>
  <c r="M402" i="5"/>
  <c r="Q402" i="5"/>
  <c r="J492" i="5"/>
  <c r="J491" i="5" s="1"/>
  <c r="N492" i="5"/>
  <c r="N491" i="5" s="1"/>
  <c r="R492" i="5"/>
  <c r="R491" i="5" s="1"/>
  <c r="K492" i="5"/>
  <c r="K491" i="5" s="1"/>
  <c r="O492" i="5"/>
  <c r="O491" i="5" s="1"/>
  <c r="G492" i="5"/>
  <c r="H492" i="5"/>
  <c r="H491" i="5" s="1"/>
  <c r="L492" i="5"/>
  <c r="L491" i="5" s="1"/>
  <c r="P492" i="5"/>
  <c r="P491" i="5" s="1"/>
  <c r="I492" i="5"/>
  <c r="I491" i="5" s="1"/>
  <c r="M492" i="5"/>
  <c r="M491" i="5" s="1"/>
  <c r="Q492" i="5"/>
  <c r="Q491" i="5" s="1"/>
  <c r="L453" i="5"/>
  <c r="R453" i="5" s="1"/>
  <c r="H42" i="5"/>
  <c r="I12" i="9"/>
  <c r="G26" i="5"/>
  <c r="G16" i="9"/>
  <c r="I37" i="1"/>
  <c r="J24" i="5" s="1"/>
  <c r="G14" i="9"/>
  <c r="K478" i="5"/>
  <c r="K477" i="5" s="1"/>
  <c r="O478" i="5"/>
  <c r="G478" i="5"/>
  <c r="L478" i="5"/>
  <c r="L477" i="5" s="1"/>
  <c r="P478" i="5"/>
  <c r="P477" i="5" s="1"/>
  <c r="M478" i="5"/>
  <c r="M477" i="5" s="1"/>
  <c r="J478" i="5"/>
  <c r="J477" i="5" s="1"/>
  <c r="R478" i="5"/>
  <c r="R477" i="5" s="1"/>
  <c r="H478" i="5"/>
  <c r="H477" i="5" s="1"/>
  <c r="I478" i="5"/>
  <c r="I477" i="5" s="1"/>
  <c r="Q478" i="5"/>
  <c r="Q477" i="5" s="1"/>
  <c r="N478" i="5"/>
  <c r="N477" i="5" s="1"/>
  <c r="L451" i="5"/>
  <c r="R451" i="5" s="1"/>
  <c r="M39" i="1"/>
  <c r="N26" i="5" s="1"/>
  <c r="I38" i="1"/>
  <c r="J25" i="5" s="1"/>
  <c r="M35" i="1"/>
  <c r="N22" i="5" s="1"/>
  <c r="I39" i="1"/>
  <c r="J26" i="5" s="1"/>
  <c r="K37" i="1"/>
  <c r="L24" i="5" s="1"/>
  <c r="G39" i="1"/>
  <c r="G26" i="8" s="1"/>
  <c r="G35" i="1"/>
  <c r="G22" i="5"/>
  <c r="I35" i="1"/>
  <c r="J22" i="5" s="1"/>
  <c r="K39" i="1"/>
  <c r="L26" i="5" s="1"/>
  <c r="K35" i="1"/>
  <c r="L22" i="5" s="1"/>
  <c r="G24" i="5"/>
  <c r="M37" i="1"/>
  <c r="N24" i="5" s="1"/>
  <c r="G37" i="1"/>
  <c r="L135" i="5"/>
  <c r="L137" i="5"/>
  <c r="L139" i="5"/>
  <c r="G24" i="8" l="1"/>
  <c r="N122" i="4"/>
  <c r="N126" i="4"/>
  <c r="N130" i="4"/>
  <c r="B156" i="4" s="1"/>
  <c r="N127" i="4"/>
  <c r="N124" i="4"/>
  <c r="N125" i="4"/>
  <c r="N129" i="4"/>
  <c r="B155" i="4" s="1"/>
  <c r="N123" i="4"/>
  <c r="N128" i="4"/>
  <c r="H484" i="5"/>
  <c r="H483" i="5" s="1"/>
  <c r="L484" i="5"/>
  <c r="L483" i="5" s="1"/>
  <c r="P484" i="5"/>
  <c r="P483" i="5" s="1"/>
  <c r="I484" i="5"/>
  <c r="I483" i="5" s="1"/>
  <c r="M484" i="5"/>
  <c r="M483" i="5" s="1"/>
  <c r="Q484" i="5"/>
  <c r="Q483" i="5" s="1"/>
  <c r="J484" i="5"/>
  <c r="J483" i="5" s="1"/>
  <c r="N484" i="5"/>
  <c r="N483" i="5" s="1"/>
  <c r="R484" i="5"/>
  <c r="R483" i="5" s="1"/>
  <c r="K484" i="5"/>
  <c r="K483" i="5" s="1"/>
  <c r="O484" i="5"/>
  <c r="O483" i="5" s="1"/>
  <c r="G484" i="5"/>
  <c r="I408" i="5"/>
  <c r="I407" i="5" s="1"/>
  <c r="M408" i="5"/>
  <c r="M407" i="5" s="1"/>
  <c r="Q408" i="5"/>
  <c r="Q407" i="5" s="1"/>
  <c r="J408" i="5"/>
  <c r="J407" i="5" s="1"/>
  <c r="N408" i="5"/>
  <c r="N407" i="5" s="1"/>
  <c r="R408" i="5"/>
  <c r="R407" i="5" s="1"/>
  <c r="K408" i="5"/>
  <c r="K407" i="5" s="1"/>
  <c r="O408" i="5"/>
  <c r="O407" i="5" s="1"/>
  <c r="G408" i="5"/>
  <c r="G407" i="5" s="1"/>
  <c r="H408" i="5"/>
  <c r="H407" i="5" s="1"/>
  <c r="L408" i="5"/>
  <c r="L407" i="5" s="1"/>
  <c r="P408" i="5"/>
  <c r="P407" i="5" s="1"/>
  <c r="H498" i="5"/>
  <c r="H497" i="5" s="1"/>
  <c r="L498" i="5"/>
  <c r="L497" i="5" s="1"/>
  <c r="P498" i="5"/>
  <c r="P497" i="5" s="1"/>
  <c r="I498" i="5"/>
  <c r="I497" i="5" s="1"/>
  <c r="M498" i="5"/>
  <c r="M497" i="5" s="1"/>
  <c r="Q498" i="5"/>
  <c r="Q497" i="5" s="1"/>
  <c r="J498" i="5"/>
  <c r="J497" i="5" s="1"/>
  <c r="N498" i="5"/>
  <c r="N497" i="5" s="1"/>
  <c r="R498" i="5"/>
  <c r="R497" i="5" s="1"/>
  <c r="K498" i="5"/>
  <c r="K497" i="5" s="1"/>
  <c r="O498" i="5"/>
  <c r="O497" i="5" s="1"/>
  <c r="G498" i="5"/>
  <c r="I422" i="5"/>
  <c r="I421" i="5" s="1"/>
  <c r="M422" i="5"/>
  <c r="M421" i="5" s="1"/>
  <c r="Q422" i="5"/>
  <c r="Q421" i="5" s="1"/>
  <c r="J422" i="5"/>
  <c r="J421" i="5" s="1"/>
  <c r="N422" i="5"/>
  <c r="N421" i="5" s="1"/>
  <c r="R422" i="5"/>
  <c r="R421" i="5" s="1"/>
  <c r="K422" i="5"/>
  <c r="K421" i="5" s="1"/>
  <c r="O422" i="5"/>
  <c r="O421" i="5" s="1"/>
  <c r="G422" i="5"/>
  <c r="G421" i="5" s="1"/>
  <c r="H422" i="5"/>
  <c r="H421" i="5" s="1"/>
  <c r="L422" i="5"/>
  <c r="L421" i="5" s="1"/>
  <c r="P422" i="5"/>
  <c r="P421" i="5" s="1"/>
  <c r="T478" i="5"/>
  <c r="T492" i="5"/>
  <c r="G491" i="5"/>
  <c r="T491" i="5" s="1"/>
  <c r="M26" i="8"/>
  <c r="J71" i="5" s="1"/>
  <c r="O26" i="8"/>
  <c r="K71" i="5" s="1"/>
  <c r="K26" i="8"/>
  <c r="I71" i="5" s="1"/>
  <c r="I26" i="8"/>
  <c r="Q26" i="8"/>
  <c r="L71" i="5" s="1"/>
  <c r="H46" i="5"/>
  <c r="I16" i="9"/>
  <c r="O24" i="8"/>
  <c r="K69" i="5" s="1"/>
  <c r="Q24" i="8"/>
  <c r="L69" i="5" s="1"/>
  <c r="M24" i="8"/>
  <c r="J69" i="5" s="1"/>
  <c r="K24" i="8"/>
  <c r="I69" i="5" s="1"/>
  <c r="I24" i="8"/>
  <c r="I13" i="9"/>
  <c r="J43" i="5" s="1"/>
  <c r="J297" i="5" s="1"/>
  <c r="J42" i="5"/>
  <c r="H24" i="5"/>
  <c r="G25" i="8"/>
  <c r="G477" i="5"/>
  <c r="O477" i="5"/>
  <c r="H44" i="5"/>
  <c r="I14" i="9"/>
  <c r="H22" i="5"/>
  <c r="N121" i="4"/>
  <c r="B157" i="4"/>
  <c r="H26" i="5"/>
  <c r="M40" i="1"/>
  <c r="N27" i="5" s="1"/>
  <c r="K36" i="1"/>
  <c r="L23" i="5" s="1"/>
  <c r="M36" i="1"/>
  <c r="N23" i="5" s="1"/>
  <c r="M38" i="1"/>
  <c r="N25" i="5" s="1"/>
  <c r="K40" i="1"/>
  <c r="L27" i="5" s="1"/>
  <c r="K38" i="1"/>
  <c r="L25" i="5" s="1"/>
  <c r="I36" i="1"/>
  <c r="J23" i="5" s="1"/>
  <c r="I40" i="1"/>
  <c r="J27" i="5" s="1"/>
  <c r="M139" i="5"/>
  <c r="M137" i="5"/>
  <c r="M135" i="5"/>
  <c r="G497" i="5" l="1"/>
  <c r="T497" i="5" s="1"/>
  <c r="T498" i="5"/>
  <c r="G483" i="5"/>
  <c r="T483" i="5" s="1"/>
  <c r="T484" i="5"/>
  <c r="H310" i="5"/>
  <c r="J310" i="5"/>
  <c r="N310" i="5"/>
  <c r="R310" i="5"/>
  <c r="K310" i="5"/>
  <c r="O310" i="5"/>
  <c r="G310" i="5"/>
  <c r="L310" i="5"/>
  <c r="P310" i="5"/>
  <c r="I310" i="5"/>
  <c r="M310" i="5"/>
  <c r="Q310" i="5"/>
  <c r="P141" i="4"/>
  <c r="H140" i="4"/>
  <c r="X140" i="4"/>
  <c r="R141" i="4"/>
  <c r="B141" i="4"/>
  <c r="R140" i="4"/>
  <c r="J139" i="4"/>
  <c r="B139" i="4"/>
  <c r="H141" i="4"/>
  <c r="X141" i="4"/>
  <c r="P140" i="4"/>
  <c r="J141" i="4"/>
  <c r="J140" i="4"/>
  <c r="B140" i="4"/>
  <c r="R139" i="4"/>
  <c r="N139" i="4"/>
  <c r="L139" i="4"/>
  <c r="V141" i="4"/>
  <c r="L141" i="4"/>
  <c r="V140" i="4"/>
  <c r="D140" i="4"/>
  <c r="T140" i="4"/>
  <c r="T139" i="4"/>
  <c r="D141" i="4"/>
  <c r="N140" i="4"/>
  <c r="X139" i="4"/>
  <c r="F139" i="4"/>
  <c r="V139" i="4"/>
  <c r="F141" i="4"/>
  <c r="F140" i="4"/>
  <c r="P139" i="4"/>
  <c r="L140" i="4"/>
  <c r="D139" i="4"/>
  <c r="N141" i="4"/>
  <c r="H139" i="4"/>
  <c r="T141" i="4"/>
  <c r="H138" i="4"/>
  <c r="L138" i="4"/>
  <c r="V138" i="4"/>
  <c r="J138" i="4"/>
  <c r="X138" i="4"/>
  <c r="R138" i="4"/>
  <c r="D138" i="4"/>
  <c r="N138" i="4"/>
  <c r="T138" i="4"/>
  <c r="P138" i="4"/>
  <c r="F138" i="4"/>
  <c r="B138" i="4"/>
  <c r="B169" i="4" s="1"/>
  <c r="B151" i="4"/>
  <c r="F135" i="4"/>
  <c r="N135" i="4"/>
  <c r="V135" i="4"/>
  <c r="J135" i="4"/>
  <c r="R135" i="4"/>
  <c r="B135" i="4"/>
  <c r="D135" i="4"/>
  <c r="L135" i="4"/>
  <c r="T135" i="4"/>
  <c r="H135" i="4"/>
  <c r="P135" i="4"/>
  <c r="X135" i="4"/>
  <c r="B152" i="4"/>
  <c r="F136" i="4"/>
  <c r="N136" i="4"/>
  <c r="V136" i="4"/>
  <c r="J136" i="4"/>
  <c r="R136" i="4"/>
  <c r="B136" i="4"/>
  <c r="D136" i="4"/>
  <c r="L136" i="4"/>
  <c r="T136" i="4"/>
  <c r="H136" i="4"/>
  <c r="P136" i="4"/>
  <c r="X136" i="4"/>
  <c r="B153" i="4"/>
  <c r="F137" i="4"/>
  <c r="N137" i="4"/>
  <c r="V137" i="4"/>
  <c r="X137" i="4"/>
  <c r="J137" i="4"/>
  <c r="R137" i="4"/>
  <c r="B137" i="4"/>
  <c r="D137" i="4"/>
  <c r="L137" i="4"/>
  <c r="T137" i="4"/>
  <c r="H137" i="4"/>
  <c r="P137" i="4"/>
  <c r="B154" i="4"/>
  <c r="L143" i="4"/>
  <c r="B143" i="4"/>
  <c r="B171" i="4" s="1"/>
  <c r="D142" i="4"/>
  <c r="P142" i="4"/>
  <c r="B142" i="4"/>
  <c r="B170" i="4" s="1"/>
  <c r="N142" i="4"/>
  <c r="F142" i="4"/>
  <c r="R142" i="4"/>
  <c r="L142" i="4"/>
  <c r="J142" i="4"/>
  <c r="T142" i="4"/>
  <c r="V142" i="4"/>
  <c r="H142" i="4"/>
  <c r="J449" i="5"/>
  <c r="J373" i="5"/>
  <c r="H69" i="5"/>
  <c r="T24" i="8"/>
  <c r="H71" i="5"/>
  <c r="T26" i="8"/>
  <c r="I17" i="9"/>
  <c r="J47" i="5" s="1"/>
  <c r="J301" i="5" s="1"/>
  <c r="J46" i="5"/>
  <c r="T477" i="5"/>
  <c r="I15" i="9"/>
  <c r="J45" i="5" s="1"/>
  <c r="J299" i="5" s="1"/>
  <c r="J44" i="5"/>
  <c r="M25" i="8"/>
  <c r="J70" i="5" s="1"/>
  <c r="O25" i="8"/>
  <c r="K70" i="5" s="1"/>
  <c r="K25" i="8"/>
  <c r="I70" i="5" s="1"/>
  <c r="Q25" i="8"/>
  <c r="L70" i="5" s="1"/>
  <c r="I25" i="8"/>
  <c r="F143" i="4"/>
  <c r="N143" i="4"/>
  <c r="V143" i="4"/>
  <c r="H143" i="4"/>
  <c r="P143" i="4"/>
  <c r="X143" i="4"/>
  <c r="J143" i="4"/>
  <c r="R143" i="4"/>
  <c r="D143" i="4"/>
  <c r="T143" i="4"/>
  <c r="M136" i="5"/>
  <c r="L136" i="5"/>
  <c r="M140" i="5"/>
  <c r="L140" i="5"/>
  <c r="M138" i="5"/>
  <c r="L138" i="5"/>
  <c r="D144" i="4"/>
  <c r="L144" i="4"/>
  <c r="T144" i="4"/>
  <c r="F144" i="4"/>
  <c r="N144" i="4"/>
  <c r="V144" i="4"/>
  <c r="H144" i="4"/>
  <c r="P144" i="4"/>
  <c r="X144" i="4"/>
  <c r="J144" i="4"/>
  <c r="R144" i="4"/>
  <c r="B144" i="4"/>
  <c r="B172" i="4" s="1"/>
  <c r="X142" i="4"/>
  <c r="K462" i="5" l="1"/>
  <c r="O462" i="5"/>
  <c r="G462" i="5"/>
  <c r="H462" i="5"/>
  <c r="L462" i="5"/>
  <c r="P462" i="5"/>
  <c r="I462" i="5"/>
  <c r="M462" i="5"/>
  <c r="Q462" i="5"/>
  <c r="J462" i="5"/>
  <c r="N462" i="5"/>
  <c r="R462" i="5"/>
  <c r="K386" i="5"/>
  <c r="O386" i="5"/>
  <c r="G386" i="5"/>
  <c r="H386" i="5"/>
  <c r="L386" i="5"/>
  <c r="P386" i="5"/>
  <c r="I386" i="5"/>
  <c r="M386" i="5"/>
  <c r="Q386" i="5"/>
  <c r="J386" i="5"/>
  <c r="N386" i="5"/>
  <c r="R386" i="5"/>
  <c r="J338" i="5"/>
  <c r="N338" i="5"/>
  <c r="R338" i="5"/>
  <c r="K338" i="5"/>
  <c r="O338" i="5"/>
  <c r="G338" i="5"/>
  <c r="H338" i="5"/>
  <c r="L338" i="5"/>
  <c r="P338" i="5"/>
  <c r="I338" i="5"/>
  <c r="M338" i="5"/>
  <c r="Q338" i="5"/>
  <c r="J324" i="5"/>
  <c r="N324" i="5"/>
  <c r="R324" i="5"/>
  <c r="K324" i="5"/>
  <c r="O324" i="5"/>
  <c r="G324" i="5"/>
  <c r="H324" i="5"/>
  <c r="L324" i="5"/>
  <c r="P324" i="5"/>
  <c r="I324" i="5"/>
  <c r="M324" i="5"/>
  <c r="Q324" i="5"/>
  <c r="N69" i="5"/>
  <c r="G31" i="8"/>
  <c r="I31" i="8" s="1"/>
  <c r="G19" i="12" s="1"/>
  <c r="J453" i="5"/>
  <c r="J377" i="5"/>
  <c r="G35" i="8"/>
  <c r="I35" i="8" s="1"/>
  <c r="G23" i="12" s="1"/>
  <c r="N71" i="5"/>
  <c r="J309" i="5"/>
  <c r="I309" i="5"/>
  <c r="R309" i="5"/>
  <c r="H309" i="5"/>
  <c r="Q309" i="5"/>
  <c r="K309" i="5"/>
  <c r="L309" i="5"/>
  <c r="N309" i="5"/>
  <c r="M309" i="5"/>
  <c r="O309" i="5"/>
  <c r="P309" i="5"/>
  <c r="P476" i="5"/>
  <c r="L476" i="5"/>
  <c r="H476" i="5"/>
  <c r="O476" i="5"/>
  <c r="K476" i="5"/>
  <c r="G476" i="5"/>
  <c r="R476" i="5"/>
  <c r="J476" i="5"/>
  <c r="Q476" i="5"/>
  <c r="I476" i="5"/>
  <c r="N476" i="5"/>
  <c r="M476" i="5"/>
  <c r="L400" i="5"/>
  <c r="K400" i="5"/>
  <c r="I400" i="5"/>
  <c r="H400" i="5"/>
  <c r="Q400" i="5"/>
  <c r="J375" i="5"/>
  <c r="O400" i="5"/>
  <c r="N400" i="5"/>
  <c r="M400" i="5"/>
  <c r="P400" i="5"/>
  <c r="J400" i="5"/>
  <c r="R400" i="5"/>
  <c r="G400" i="5"/>
  <c r="H323" i="5"/>
  <c r="J451" i="5"/>
  <c r="H70" i="5"/>
  <c r="T25" i="8"/>
  <c r="J145" i="4"/>
  <c r="L145" i="4"/>
  <c r="X145" i="4"/>
  <c r="D145" i="4"/>
  <c r="B145" i="4"/>
  <c r="P145" i="4"/>
  <c r="F145" i="4"/>
  <c r="R145" i="4"/>
  <c r="H145" i="4"/>
  <c r="T145" i="4"/>
  <c r="V145" i="4"/>
  <c r="N145" i="4"/>
  <c r="G20" i="12" l="1"/>
  <c r="K19" i="12"/>
  <c r="G24" i="12"/>
  <c r="K23" i="12"/>
  <c r="K414" i="5"/>
  <c r="O414" i="5"/>
  <c r="G414" i="5"/>
  <c r="H414" i="5"/>
  <c r="L414" i="5"/>
  <c r="P414" i="5"/>
  <c r="I414" i="5"/>
  <c r="M414" i="5"/>
  <c r="Q414" i="5"/>
  <c r="J414" i="5"/>
  <c r="N414" i="5"/>
  <c r="R414" i="5"/>
  <c r="K490" i="5"/>
  <c r="O490" i="5"/>
  <c r="G490" i="5"/>
  <c r="H490" i="5"/>
  <c r="L490" i="5"/>
  <c r="P490" i="5"/>
  <c r="I490" i="5"/>
  <c r="M490" i="5"/>
  <c r="Q490" i="5"/>
  <c r="J490" i="5"/>
  <c r="N490" i="5"/>
  <c r="R490" i="5"/>
  <c r="H385" i="5"/>
  <c r="K385" i="5"/>
  <c r="N385" i="5"/>
  <c r="I385" i="5"/>
  <c r="M385" i="5"/>
  <c r="L385" i="5"/>
  <c r="O385" i="5"/>
  <c r="R385" i="5"/>
  <c r="P385" i="5"/>
  <c r="J385" i="5"/>
  <c r="T400" i="5"/>
  <c r="T476" i="5"/>
  <c r="T386" i="5"/>
  <c r="T310" i="5"/>
  <c r="T324" i="5"/>
  <c r="G309" i="5"/>
  <c r="H461" i="5"/>
  <c r="M461" i="5"/>
  <c r="R461" i="5"/>
  <c r="I337" i="5"/>
  <c r="M337" i="5"/>
  <c r="J337" i="5"/>
  <c r="H337" i="5"/>
  <c r="N337" i="5"/>
  <c r="P337" i="5"/>
  <c r="L337" i="5"/>
  <c r="R337" i="5"/>
  <c r="Q337" i="5"/>
  <c r="K337" i="5"/>
  <c r="O337" i="5"/>
  <c r="G385" i="5"/>
  <c r="K461" i="5"/>
  <c r="I461" i="5"/>
  <c r="N461" i="5"/>
  <c r="O461" i="5"/>
  <c r="L461" i="5"/>
  <c r="Q461" i="5"/>
  <c r="Q385" i="5"/>
  <c r="G461" i="5"/>
  <c r="T462" i="5"/>
  <c r="P461" i="5"/>
  <c r="J461" i="5"/>
  <c r="J82" i="5"/>
  <c r="I36" i="8"/>
  <c r="J83" i="5" s="1"/>
  <c r="L301" i="5" s="1"/>
  <c r="R301" i="5" s="1"/>
  <c r="I32" i="8"/>
  <c r="J79" i="5" s="1"/>
  <c r="L297" i="5" s="1"/>
  <c r="R297" i="5" s="1"/>
  <c r="J78" i="5"/>
  <c r="G33" i="8"/>
  <c r="I33" i="8" s="1"/>
  <c r="G21" i="12" s="1"/>
  <c r="N70" i="5"/>
  <c r="P399" i="5"/>
  <c r="N399" i="5"/>
  <c r="K323" i="5"/>
  <c r="M323" i="5"/>
  <c r="N323" i="5"/>
  <c r="L399" i="5"/>
  <c r="Q475" i="5"/>
  <c r="K475" i="5"/>
  <c r="P475" i="5"/>
  <c r="G399" i="5"/>
  <c r="P323" i="5"/>
  <c r="Q323" i="5"/>
  <c r="G323" i="5"/>
  <c r="H399" i="5"/>
  <c r="L323" i="5"/>
  <c r="M475" i="5"/>
  <c r="J475" i="5"/>
  <c r="O475" i="5"/>
  <c r="R399" i="5"/>
  <c r="J323" i="5"/>
  <c r="O399" i="5"/>
  <c r="R323" i="5"/>
  <c r="K399" i="5"/>
  <c r="N475" i="5"/>
  <c r="R475" i="5"/>
  <c r="H475" i="5"/>
  <c r="O323" i="5"/>
  <c r="J399" i="5"/>
  <c r="M399" i="5"/>
  <c r="Q399" i="5"/>
  <c r="I399" i="5"/>
  <c r="I323" i="5"/>
  <c r="I475" i="5"/>
  <c r="G475" i="5"/>
  <c r="L475" i="5"/>
  <c r="B164" i="4"/>
  <c r="I193" i="5" s="1"/>
  <c r="G390" i="5" s="1"/>
  <c r="G397" i="5" s="1"/>
  <c r="G433" i="5" s="1"/>
  <c r="I192" i="5"/>
  <c r="G389" i="5" s="1"/>
  <c r="O192" i="5"/>
  <c r="M389" i="5" s="1"/>
  <c r="N164" i="4"/>
  <c r="O193" i="5" s="1"/>
  <c r="M390" i="5" s="1"/>
  <c r="M397" i="5" s="1"/>
  <c r="M433" i="5" s="1"/>
  <c r="S192" i="5"/>
  <c r="Q389" i="5" s="1"/>
  <c r="V164" i="4"/>
  <c r="S193" i="5" s="1"/>
  <c r="Q390" i="5" s="1"/>
  <c r="Q397" i="5" s="1"/>
  <c r="Q433" i="5" s="1"/>
  <c r="T192" i="5"/>
  <c r="R389" i="5" s="1"/>
  <c r="X164" i="4"/>
  <c r="T193" i="5" s="1"/>
  <c r="R390" i="5" s="1"/>
  <c r="R397" i="5" s="1"/>
  <c r="R433" i="5" s="1"/>
  <c r="Q192" i="5"/>
  <c r="O389" i="5" s="1"/>
  <c r="R164" i="4"/>
  <c r="Q193" i="5" s="1"/>
  <c r="O390" i="5" s="1"/>
  <c r="O397" i="5" s="1"/>
  <c r="O433" i="5" s="1"/>
  <c r="J192" i="5"/>
  <c r="H389" i="5" s="1"/>
  <c r="D164" i="4"/>
  <c r="J193" i="5" s="1"/>
  <c r="H390" i="5" s="1"/>
  <c r="H397" i="5" s="1"/>
  <c r="H433" i="5" s="1"/>
  <c r="K192" i="5"/>
  <c r="I389" i="5" s="1"/>
  <c r="F164" i="4"/>
  <c r="K193" i="5" s="1"/>
  <c r="I390" i="5" s="1"/>
  <c r="I397" i="5" s="1"/>
  <c r="I433" i="5" s="1"/>
  <c r="R192" i="5"/>
  <c r="P389" i="5" s="1"/>
  <c r="T164" i="4"/>
  <c r="R193" i="5" s="1"/>
  <c r="P390" i="5" s="1"/>
  <c r="P397" i="5" s="1"/>
  <c r="P433" i="5" s="1"/>
  <c r="P192" i="5"/>
  <c r="N389" i="5" s="1"/>
  <c r="P164" i="4"/>
  <c r="P193" i="5" s="1"/>
  <c r="N390" i="5" s="1"/>
  <c r="N397" i="5" s="1"/>
  <c r="N433" i="5" s="1"/>
  <c r="N192" i="5"/>
  <c r="L389" i="5" s="1"/>
  <c r="L164" i="4"/>
  <c r="N193" i="5" s="1"/>
  <c r="L390" i="5" s="1"/>
  <c r="L397" i="5" s="1"/>
  <c r="L433" i="5" s="1"/>
  <c r="L192" i="5"/>
  <c r="J389" i="5" s="1"/>
  <c r="H164" i="4"/>
  <c r="L193" i="5" s="1"/>
  <c r="J390" i="5" s="1"/>
  <c r="J397" i="5" s="1"/>
  <c r="J433" i="5" s="1"/>
  <c r="M192" i="5"/>
  <c r="K389" i="5" s="1"/>
  <c r="J164" i="4"/>
  <c r="M193" i="5" s="1"/>
  <c r="K390" i="5" s="1"/>
  <c r="K397" i="5" s="1"/>
  <c r="K433" i="5" s="1"/>
  <c r="B173" i="4"/>
  <c r="B158" i="4"/>
  <c r="T147" i="4"/>
  <c r="T146" i="4"/>
  <c r="P147" i="4"/>
  <c r="P146" i="4"/>
  <c r="L147" i="4"/>
  <c r="L146" i="4"/>
  <c r="H147" i="4"/>
  <c r="H146" i="4"/>
  <c r="B147" i="4"/>
  <c r="I196" i="5" s="1"/>
  <c r="G417" i="5" s="1"/>
  <c r="B146" i="4"/>
  <c r="I194" i="5" s="1"/>
  <c r="G403" i="5" s="1"/>
  <c r="J147" i="4"/>
  <c r="J146" i="4"/>
  <c r="N147" i="4"/>
  <c r="N146" i="4"/>
  <c r="R147" i="4"/>
  <c r="R146" i="4"/>
  <c r="D147" i="4"/>
  <c r="D146" i="4"/>
  <c r="V146" i="4"/>
  <c r="V147" i="4"/>
  <c r="F147" i="4"/>
  <c r="F146" i="4"/>
  <c r="X147" i="4"/>
  <c r="X146" i="4"/>
  <c r="K24" i="12" l="1"/>
  <c r="I283" i="5" s="1"/>
  <c r="I282" i="5"/>
  <c r="K21" i="12"/>
  <c r="G22" i="12"/>
  <c r="K20" i="12"/>
  <c r="I279" i="5" s="1"/>
  <c r="I278" i="5"/>
  <c r="H346" i="5"/>
  <c r="H345" i="5" s="1"/>
  <c r="M346" i="5"/>
  <c r="M345" i="5" s="1"/>
  <c r="Q346" i="5"/>
  <c r="Q345" i="5" s="1"/>
  <c r="K346" i="5"/>
  <c r="K345" i="5" s="1"/>
  <c r="J346" i="5"/>
  <c r="J345" i="5" s="1"/>
  <c r="I346" i="5"/>
  <c r="I345" i="5" s="1"/>
  <c r="P346" i="5"/>
  <c r="P345" i="5" s="1"/>
  <c r="G346" i="5"/>
  <c r="R346" i="5"/>
  <c r="R345" i="5" s="1"/>
  <c r="L346" i="5"/>
  <c r="L345" i="5" s="1"/>
  <c r="O346" i="5"/>
  <c r="O345" i="5" s="1"/>
  <c r="N346" i="5"/>
  <c r="N345" i="5" s="1"/>
  <c r="J318" i="5"/>
  <c r="J317" i="5" s="1"/>
  <c r="I318" i="5"/>
  <c r="I317" i="5" s="1"/>
  <c r="P318" i="5"/>
  <c r="P317" i="5" s="1"/>
  <c r="M318" i="5"/>
  <c r="M317" i="5" s="1"/>
  <c r="H318" i="5"/>
  <c r="H317" i="5" s="1"/>
  <c r="O318" i="5"/>
  <c r="O317" i="5" s="1"/>
  <c r="G318" i="5"/>
  <c r="K318" i="5"/>
  <c r="K317" i="5" s="1"/>
  <c r="R318" i="5"/>
  <c r="R317" i="5" s="1"/>
  <c r="Q318" i="5"/>
  <c r="Q317" i="5" s="1"/>
  <c r="N318" i="5"/>
  <c r="N317" i="5" s="1"/>
  <c r="L318" i="5"/>
  <c r="L317" i="5" s="1"/>
  <c r="T309" i="5"/>
  <c r="J340" i="5"/>
  <c r="J339" i="5" s="1"/>
  <c r="N340" i="5"/>
  <c r="R340" i="5"/>
  <c r="R339" i="5" s="1"/>
  <c r="K340" i="5"/>
  <c r="O340" i="5"/>
  <c r="O339" i="5" s="1"/>
  <c r="G340" i="5"/>
  <c r="H340" i="5"/>
  <c r="L340" i="5"/>
  <c r="P340" i="5"/>
  <c r="P339" i="5" s="1"/>
  <c r="I340" i="5"/>
  <c r="I339" i="5" s="1"/>
  <c r="M340" i="5"/>
  <c r="Q340" i="5"/>
  <c r="J312" i="5"/>
  <c r="J311" i="5" s="1"/>
  <c r="N312" i="5"/>
  <c r="R312" i="5"/>
  <c r="K312" i="5"/>
  <c r="O312" i="5"/>
  <c r="O311" i="5" s="1"/>
  <c r="G312" i="5"/>
  <c r="H312" i="5"/>
  <c r="H311" i="5" s="1"/>
  <c r="L312" i="5"/>
  <c r="P312" i="5"/>
  <c r="P311" i="5" s="1"/>
  <c r="I312" i="5"/>
  <c r="M312" i="5"/>
  <c r="M311" i="5" s="1"/>
  <c r="Q312" i="5"/>
  <c r="I413" i="5"/>
  <c r="K413" i="5"/>
  <c r="P413" i="5"/>
  <c r="H413" i="5"/>
  <c r="O413" i="5"/>
  <c r="J413" i="5"/>
  <c r="N413" i="5"/>
  <c r="M413" i="5"/>
  <c r="R413" i="5"/>
  <c r="L413" i="5"/>
  <c r="T389" i="5"/>
  <c r="T390" i="5"/>
  <c r="K313" i="5"/>
  <c r="K465" i="5"/>
  <c r="K472" i="5" s="1"/>
  <c r="K508" i="5" s="1"/>
  <c r="P313" i="5"/>
  <c r="P465" i="5"/>
  <c r="P472" i="5" s="1"/>
  <c r="P508" i="5" s="1"/>
  <c r="R313" i="5"/>
  <c r="R465" i="5"/>
  <c r="R472" i="5" s="1"/>
  <c r="R508" i="5" s="1"/>
  <c r="J314" i="5"/>
  <c r="J466" i="5"/>
  <c r="J473" i="5" s="1"/>
  <c r="J509" i="5" s="1"/>
  <c r="I314" i="5"/>
  <c r="I466" i="5"/>
  <c r="I473" i="5" s="1"/>
  <c r="I509" i="5" s="1"/>
  <c r="Q314" i="5"/>
  <c r="Q466" i="5"/>
  <c r="Q473" i="5" s="1"/>
  <c r="Q509" i="5" s="1"/>
  <c r="J313" i="5"/>
  <c r="J465" i="5"/>
  <c r="J472" i="5" s="1"/>
  <c r="J508" i="5" s="1"/>
  <c r="G327" i="5"/>
  <c r="G479" i="5"/>
  <c r="G486" i="5" s="1"/>
  <c r="G510" i="5" s="1"/>
  <c r="K314" i="5"/>
  <c r="K466" i="5"/>
  <c r="K473" i="5" s="1"/>
  <c r="K509" i="5" s="1"/>
  <c r="L314" i="5"/>
  <c r="L466" i="5"/>
  <c r="L473" i="5" s="1"/>
  <c r="L509" i="5" s="1"/>
  <c r="P314" i="5"/>
  <c r="P466" i="5"/>
  <c r="P473" i="5" s="1"/>
  <c r="P509" i="5" s="1"/>
  <c r="H314" i="5"/>
  <c r="H466" i="5"/>
  <c r="H473" i="5" s="1"/>
  <c r="H509" i="5" s="1"/>
  <c r="R314" i="5"/>
  <c r="R466" i="5"/>
  <c r="R473" i="5" s="1"/>
  <c r="R509" i="5" s="1"/>
  <c r="M314" i="5"/>
  <c r="M466" i="5"/>
  <c r="M473" i="5" s="1"/>
  <c r="M509" i="5" s="1"/>
  <c r="G341" i="5"/>
  <c r="G493" i="5"/>
  <c r="L313" i="5"/>
  <c r="L465" i="5"/>
  <c r="L472" i="5" s="1"/>
  <c r="L508" i="5" s="1"/>
  <c r="H313" i="5"/>
  <c r="H465" i="5"/>
  <c r="H472" i="5" s="1"/>
  <c r="H508" i="5" s="1"/>
  <c r="M313" i="5"/>
  <c r="M465" i="5"/>
  <c r="M472" i="5" s="1"/>
  <c r="M508" i="5" s="1"/>
  <c r="N314" i="5"/>
  <c r="N466" i="5"/>
  <c r="N473" i="5" s="1"/>
  <c r="N509" i="5" s="1"/>
  <c r="O466" i="5"/>
  <c r="O473" i="5" s="1"/>
  <c r="O509" i="5" s="1"/>
  <c r="O314" i="5"/>
  <c r="G465" i="5"/>
  <c r="G472" i="5" s="1"/>
  <c r="G508" i="5" s="1"/>
  <c r="G313" i="5"/>
  <c r="N313" i="5"/>
  <c r="N465" i="5"/>
  <c r="N472" i="5" s="1"/>
  <c r="N508" i="5" s="1"/>
  <c r="I313" i="5"/>
  <c r="I465" i="5"/>
  <c r="I472" i="5" s="1"/>
  <c r="I508" i="5" s="1"/>
  <c r="O465" i="5"/>
  <c r="O472" i="5" s="1"/>
  <c r="O508" i="5" s="1"/>
  <c r="O313" i="5"/>
  <c r="Q313" i="5"/>
  <c r="Q465" i="5"/>
  <c r="Q472" i="5" s="1"/>
  <c r="Q508" i="5" s="1"/>
  <c r="G314" i="5"/>
  <c r="G466" i="5"/>
  <c r="G473" i="5" s="1"/>
  <c r="G509" i="5" s="1"/>
  <c r="T394" i="5"/>
  <c r="T414" i="5"/>
  <c r="T490" i="5"/>
  <c r="T338" i="5"/>
  <c r="R415" i="5"/>
  <c r="K415" i="5"/>
  <c r="P415" i="5"/>
  <c r="N415" i="5"/>
  <c r="J415" i="5"/>
  <c r="Q415" i="5"/>
  <c r="M415" i="5"/>
  <c r="H415" i="5"/>
  <c r="I415" i="5"/>
  <c r="O415" i="5"/>
  <c r="L415" i="5"/>
  <c r="T461" i="5"/>
  <c r="G413" i="5"/>
  <c r="K489" i="5"/>
  <c r="M489" i="5"/>
  <c r="R489" i="5"/>
  <c r="G489" i="5"/>
  <c r="H489" i="5"/>
  <c r="Q489" i="5"/>
  <c r="G337" i="5"/>
  <c r="O489" i="5"/>
  <c r="P489" i="5"/>
  <c r="J489" i="5"/>
  <c r="N387" i="5"/>
  <c r="N396" i="5" s="1"/>
  <c r="N432" i="5" s="1"/>
  <c r="L387" i="5"/>
  <c r="L396" i="5" s="1"/>
  <c r="L432" i="5" s="1"/>
  <c r="M387" i="5"/>
  <c r="M396" i="5" s="1"/>
  <c r="M432" i="5" s="1"/>
  <c r="J387" i="5"/>
  <c r="J396" i="5" s="1"/>
  <c r="J432" i="5" s="1"/>
  <c r="P387" i="5"/>
  <c r="P396" i="5" s="1"/>
  <c r="P432" i="5" s="1"/>
  <c r="O387" i="5"/>
  <c r="O396" i="5" s="1"/>
  <c r="O432" i="5" s="1"/>
  <c r="I387" i="5"/>
  <c r="I396" i="5" s="1"/>
  <c r="I432" i="5" s="1"/>
  <c r="R387" i="5"/>
  <c r="R396" i="5" s="1"/>
  <c r="R432" i="5" s="1"/>
  <c r="K387" i="5"/>
  <c r="K396" i="5" s="1"/>
  <c r="K432" i="5" s="1"/>
  <c r="H387" i="5"/>
  <c r="H396" i="5" s="1"/>
  <c r="H432" i="5" s="1"/>
  <c r="T385" i="5"/>
  <c r="Q413" i="5"/>
  <c r="L489" i="5"/>
  <c r="I489" i="5"/>
  <c r="N489" i="5"/>
  <c r="T399" i="5"/>
  <c r="I34" i="8"/>
  <c r="J81" i="5" s="1"/>
  <c r="L299" i="5" s="1"/>
  <c r="R299" i="5" s="1"/>
  <c r="J80" i="5"/>
  <c r="T323" i="5"/>
  <c r="T475" i="5"/>
  <c r="V165" i="4"/>
  <c r="S195" i="5" s="1"/>
  <c r="Q404" i="5" s="1"/>
  <c r="Q411" i="5" s="1"/>
  <c r="Q435" i="5" s="1"/>
  <c r="S194" i="5"/>
  <c r="Q403" i="5" s="1"/>
  <c r="J166" i="4"/>
  <c r="M197" i="5" s="1"/>
  <c r="K418" i="5" s="1"/>
  <c r="K425" i="5" s="1"/>
  <c r="K437" i="5" s="1"/>
  <c r="M196" i="5"/>
  <c r="K417" i="5" s="1"/>
  <c r="P166" i="4"/>
  <c r="P197" i="5" s="1"/>
  <c r="N418" i="5" s="1"/>
  <c r="N425" i="5" s="1"/>
  <c r="N437" i="5" s="1"/>
  <c r="P196" i="5"/>
  <c r="N417" i="5" s="1"/>
  <c r="T165" i="4"/>
  <c r="R195" i="5" s="1"/>
  <c r="P404" i="5" s="1"/>
  <c r="P411" i="5" s="1"/>
  <c r="P435" i="5" s="1"/>
  <c r="R194" i="5"/>
  <c r="P403" i="5" s="1"/>
  <c r="D166" i="4"/>
  <c r="J197" i="5" s="1"/>
  <c r="H418" i="5" s="1"/>
  <c r="H425" i="5" s="1"/>
  <c r="H437" i="5" s="1"/>
  <c r="J196" i="5"/>
  <c r="H417" i="5" s="1"/>
  <c r="L166" i="4"/>
  <c r="N197" i="5" s="1"/>
  <c r="L418" i="5" s="1"/>
  <c r="L425" i="5" s="1"/>
  <c r="L437" i="5" s="1"/>
  <c r="N196" i="5"/>
  <c r="L417" i="5" s="1"/>
  <c r="T166" i="4"/>
  <c r="R197" i="5" s="1"/>
  <c r="P418" i="5" s="1"/>
  <c r="P425" i="5" s="1"/>
  <c r="P437" i="5" s="1"/>
  <c r="R196" i="5"/>
  <c r="P417" i="5" s="1"/>
  <c r="X166" i="4"/>
  <c r="T197" i="5" s="1"/>
  <c r="R418" i="5" s="1"/>
  <c r="R425" i="5" s="1"/>
  <c r="R437" i="5" s="1"/>
  <c r="T196" i="5"/>
  <c r="R417" i="5" s="1"/>
  <c r="R166" i="4"/>
  <c r="Q197" i="5" s="1"/>
  <c r="O418" i="5" s="1"/>
  <c r="O425" i="5" s="1"/>
  <c r="O437" i="5" s="1"/>
  <c r="Q196" i="5"/>
  <c r="O417" i="5" s="1"/>
  <c r="H166" i="4"/>
  <c r="L197" i="5" s="1"/>
  <c r="J418" i="5" s="1"/>
  <c r="J425" i="5" s="1"/>
  <c r="J437" i="5" s="1"/>
  <c r="L196" i="5"/>
  <c r="J417" i="5" s="1"/>
  <c r="F165" i="4"/>
  <c r="K195" i="5" s="1"/>
  <c r="I404" i="5" s="1"/>
  <c r="I411" i="5" s="1"/>
  <c r="I435" i="5" s="1"/>
  <c r="K194" i="5"/>
  <c r="I403" i="5" s="1"/>
  <c r="D165" i="4"/>
  <c r="J195" i="5" s="1"/>
  <c r="H404" i="5" s="1"/>
  <c r="H411" i="5" s="1"/>
  <c r="H435" i="5" s="1"/>
  <c r="J194" i="5"/>
  <c r="H403" i="5" s="1"/>
  <c r="N165" i="4"/>
  <c r="O195" i="5" s="1"/>
  <c r="M404" i="5" s="1"/>
  <c r="M411" i="5" s="1"/>
  <c r="M435" i="5" s="1"/>
  <c r="O194" i="5"/>
  <c r="M403" i="5" s="1"/>
  <c r="L165" i="4"/>
  <c r="N195" i="5" s="1"/>
  <c r="L404" i="5" s="1"/>
  <c r="L411" i="5" s="1"/>
  <c r="L435" i="5" s="1"/>
  <c r="N194" i="5"/>
  <c r="L403" i="5" s="1"/>
  <c r="F166" i="4"/>
  <c r="K197" i="5" s="1"/>
  <c r="I418" i="5" s="1"/>
  <c r="I425" i="5" s="1"/>
  <c r="I437" i="5" s="1"/>
  <c r="K196" i="5"/>
  <c r="I417" i="5" s="1"/>
  <c r="N166" i="4"/>
  <c r="O197" i="5" s="1"/>
  <c r="M418" i="5" s="1"/>
  <c r="M425" i="5" s="1"/>
  <c r="M437" i="5" s="1"/>
  <c r="O196" i="5"/>
  <c r="M417" i="5" s="1"/>
  <c r="X165" i="4"/>
  <c r="T195" i="5" s="1"/>
  <c r="R404" i="5" s="1"/>
  <c r="R411" i="5" s="1"/>
  <c r="R435" i="5" s="1"/>
  <c r="T194" i="5"/>
  <c r="R403" i="5" s="1"/>
  <c r="V166" i="4"/>
  <c r="S197" i="5" s="1"/>
  <c r="Q418" i="5" s="1"/>
  <c r="Q425" i="5" s="1"/>
  <c r="Q437" i="5" s="1"/>
  <c r="S196" i="5"/>
  <c r="Q417" i="5" s="1"/>
  <c r="R165" i="4"/>
  <c r="Q195" i="5" s="1"/>
  <c r="O404" i="5" s="1"/>
  <c r="O411" i="5" s="1"/>
  <c r="O435" i="5" s="1"/>
  <c r="Q194" i="5"/>
  <c r="O403" i="5" s="1"/>
  <c r="J165" i="4"/>
  <c r="M195" i="5" s="1"/>
  <c r="K404" i="5" s="1"/>
  <c r="K411" i="5" s="1"/>
  <c r="K435" i="5" s="1"/>
  <c r="M194" i="5"/>
  <c r="K403" i="5" s="1"/>
  <c r="H165" i="4"/>
  <c r="L195" i="5" s="1"/>
  <c r="J404" i="5" s="1"/>
  <c r="J411" i="5" s="1"/>
  <c r="J435" i="5" s="1"/>
  <c r="L194" i="5"/>
  <c r="J403" i="5" s="1"/>
  <c r="P165" i="4"/>
  <c r="P195" i="5" s="1"/>
  <c r="N404" i="5" s="1"/>
  <c r="N411" i="5" s="1"/>
  <c r="N435" i="5" s="1"/>
  <c r="P194" i="5"/>
  <c r="N403" i="5" s="1"/>
  <c r="B176" i="4"/>
  <c r="K206" i="5" s="1"/>
  <c r="N297" i="5" s="1"/>
  <c r="T297" i="5" s="1"/>
  <c r="I206" i="5"/>
  <c r="B174" i="4"/>
  <c r="B165" i="4"/>
  <c r="I195" i="5" s="1"/>
  <c r="G404" i="5" s="1"/>
  <c r="G411" i="5" s="1"/>
  <c r="G435" i="5" s="1"/>
  <c r="B175" i="4"/>
  <c r="B166" i="4"/>
  <c r="I197" i="5" s="1"/>
  <c r="G418" i="5" s="1"/>
  <c r="G425" i="5" s="1"/>
  <c r="G437" i="5" s="1"/>
  <c r="B160" i="4"/>
  <c r="B159" i="4"/>
  <c r="I136" i="5"/>
  <c r="K22" i="12" l="1"/>
  <c r="I281" i="5" s="1"/>
  <c r="I280" i="5"/>
  <c r="P320" i="5"/>
  <c r="P356" i="5" s="1"/>
  <c r="J320" i="5"/>
  <c r="J356" i="5" s="1"/>
  <c r="I321" i="5"/>
  <c r="I357" i="5" s="1"/>
  <c r="N321" i="5"/>
  <c r="N357" i="5" s="1"/>
  <c r="G317" i="5"/>
  <c r="T317" i="5" s="1"/>
  <c r="T318" i="5"/>
  <c r="H332" i="5"/>
  <c r="H331" i="5" s="1"/>
  <c r="O332" i="5"/>
  <c r="O331" i="5" s="1"/>
  <c r="N332" i="5"/>
  <c r="N331" i="5" s="1"/>
  <c r="L332" i="5"/>
  <c r="L331" i="5" s="1"/>
  <c r="K332" i="5"/>
  <c r="K331" i="5" s="1"/>
  <c r="J332" i="5"/>
  <c r="J331" i="5" s="1"/>
  <c r="Q332" i="5"/>
  <c r="Q331" i="5" s="1"/>
  <c r="M332" i="5"/>
  <c r="M331" i="5" s="1"/>
  <c r="I332" i="5"/>
  <c r="I331" i="5" s="1"/>
  <c r="G332" i="5"/>
  <c r="R332" i="5"/>
  <c r="R331" i="5" s="1"/>
  <c r="P332" i="5"/>
  <c r="P331" i="5" s="1"/>
  <c r="G345" i="5"/>
  <c r="T345" i="5" s="1"/>
  <c r="T346" i="5"/>
  <c r="M320" i="5"/>
  <c r="M356" i="5" s="1"/>
  <c r="Q321" i="5"/>
  <c r="Q357" i="5" s="1"/>
  <c r="Q339" i="5"/>
  <c r="L339" i="5"/>
  <c r="K339" i="5"/>
  <c r="I311" i="5"/>
  <c r="I320" i="5" s="1"/>
  <c r="I356" i="5" s="1"/>
  <c r="M339" i="5"/>
  <c r="H339" i="5"/>
  <c r="N339" i="5"/>
  <c r="N311" i="5"/>
  <c r="N320" i="5" s="1"/>
  <c r="N356" i="5" s="1"/>
  <c r="T337" i="5"/>
  <c r="H320" i="5"/>
  <c r="H356" i="5" s="1"/>
  <c r="Q311" i="5"/>
  <c r="Q320" i="5" s="1"/>
  <c r="Q356" i="5" s="1"/>
  <c r="G321" i="5"/>
  <c r="G357" i="5" s="1"/>
  <c r="O320" i="5"/>
  <c r="O356" i="5" s="1"/>
  <c r="P321" i="5"/>
  <c r="P357" i="5" s="1"/>
  <c r="O321" i="5"/>
  <c r="O357" i="5" s="1"/>
  <c r="J321" i="5"/>
  <c r="J357" i="5" s="1"/>
  <c r="L311" i="5"/>
  <c r="L320" i="5" s="1"/>
  <c r="L356" i="5" s="1"/>
  <c r="L321" i="5"/>
  <c r="L357" i="5" s="1"/>
  <c r="K311" i="5"/>
  <c r="K320" i="5" s="1"/>
  <c r="K356" i="5" s="1"/>
  <c r="K321" i="5"/>
  <c r="K357" i="5" s="1"/>
  <c r="M321" i="5"/>
  <c r="M357" i="5" s="1"/>
  <c r="H321" i="5"/>
  <c r="H357" i="5" s="1"/>
  <c r="R311" i="5"/>
  <c r="R320" i="5" s="1"/>
  <c r="R356" i="5" s="1"/>
  <c r="R321" i="5"/>
  <c r="R357" i="5" s="1"/>
  <c r="J326" i="5"/>
  <c r="N326" i="5"/>
  <c r="R326" i="5"/>
  <c r="K326" i="5"/>
  <c r="O326" i="5"/>
  <c r="G326" i="5"/>
  <c r="H326" i="5"/>
  <c r="L326" i="5"/>
  <c r="P326" i="5"/>
  <c r="I326" i="5"/>
  <c r="M326" i="5"/>
  <c r="Q326" i="5"/>
  <c r="G500" i="5"/>
  <c r="G512" i="5" s="1"/>
  <c r="T508" i="5"/>
  <c r="T509" i="5"/>
  <c r="Q424" i="5"/>
  <c r="Q436" i="5" s="1"/>
  <c r="R424" i="5"/>
  <c r="R436" i="5" s="1"/>
  <c r="H424" i="5"/>
  <c r="H436" i="5" s="1"/>
  <c r="K424" i="5"/>
  <c r="K436" i="5" s="1"/>
  <c r="J424" i="5"/>
  <c r="J436" i="5" s="1"/>
  <c r="N424" i="5"/>
  <c r="N436" i="5" s="1"/>
  <c r="O424" i="5"/>
  <c r="O436" i="5" s="1"/>
  <c r="M424" i="5"/>
  <c r="M436" i="5" s="1"/>
  <c r="L424" i="5"/>
  <c r="L436" i="5" s="1"/>
  <c r="P424" i="5"/>
  <c r="P436" i="5" s="1"/>
  <c r="I424" i="5"/>
  <c r="I436" i="5" s="1"/>
  <c r="T417" i="5"/>
  <c r="T403" i="5"/>
  <c r="T418" i="5"/>
  <c r="T404" i="5"/>
  <c r="J327" i="5"/>
  <c r="J479" i="5"/>
  <c r="J486" i="5" s="1"/>
  <c r="J510" i="5" s="1"/>
  <c r="R327" i="5"/>
  <c r="R479" i="5"/>
  <c r="R486" i="5" s="1"/>
  <c r="R510" i="5" s="1"/>
  <c r="I341" i="5"/>
  <c r="I348" i="5" s="1"/>
  <c r="I360" i="5" s="1"/>
  <c r="I493" i="5"/>
  <c r="I500" i="5" s="1"/>
  <c r="I512" i="5" s="1"/>
  <c r="I327" i="5"/>
  <c r="I479" i="5"/>
  <c r="I486" i="5" s="1"/>
  <c r="I510" i="5" s="1"/>
  <c r="P341" i="5"/>
  <c r="P348" i="5" s="1"/>
  <c r="P360" i="5" s="1"/>
  <c r="P493" i="5"/>
  <c r="P500" i="5" s="1"/>
  <c r="P512" i="5" s="1"/>
  <c r="N341" i="5"/>
  <c r="N493" i="5"/>
  <c r="N500" i="5" s="1"/>
  <c r="N512" i="5" s="1"/>
  <c r="O328" i="5"/>
  <c r="O480" i="5"/>
  <c r="O487" i="5" s="1"/>
  <c r="O511" i="5" s="1"/>
  <c r="R328" i="5"/>
  <c r="R480" i="5"/>
  <c r="R487" i="5" s="1"/>
  <c r="R511" i="5" s="1"/>
  <c r="M328" i="5"/>
  <c r="M480" i="5"/>
  <c r="M487" i="5" s="1"/>
  <c r="M511" i="5" s="1"/>
  <c r="O342" i="5"/>
  <c r="O349" i="5" s="1"/>
  <c r="O361" i="5" s="1"/>
  <c r="O494" i="5"/>
  <c r="O501" i="5" s="1"/>
  <c r="O513" i="5" s="1"/>
  <c r="H342" i="5"/>
  <c r="H349" i="5" s="1"/>
  <c r="H361" i="5" s="1"/>
  <c r="H494" i="5"/>
  <c r="H501" i="5" s="1"/>
  <c r="H513" i="5" s="1"/>
  <c r="Q328" i="5"/>
  <c r="Q480" i="5"/>
  <c r="Q487" i="5" s="1"/>
  <c r="Q511" i="5" s="1"/>
  <c r="G328" i="5"/>
  <c r="G480" i="5"/>
  <c r="G487" i="5" s="1"/>
  <c r="G511" i="5" s="1"/>
  <c r="N327" i="5"/>
  <c r="N479" i="5"/>
  <c r="N486" i="5" s="1"/>
  <c r="N510" i="5" s="1"/>
  <c r="K327" i="5"/>
  <c r="K479" i="5"/>
  <c r="K486" i="5" s="1"/>
  <c r="K510" i="5" s="1"/>
  <c r="M341" i="5"/>
  <c r="M493" i="5"/>
  <c r="M500" i="5" s="1"/>
  <c r="M512" i="5" s="1"/>
  <c r="L327" i="5"/>
  <c r="L479" i="5"/>
  <c r="L486" i="5" s="1"/>
  <c r="L510" i="5" s="1"/>
  <c r="H327" i="5"/>
  <c r="H479" i="5"/>
  <c r="H486" i="5" s="1"/>
  <c r="H510" i="5" s="1"/>
  <c r="R341" i="5"/>
  <c r="R348" i="5" s="1"/>
  <c r="R360" i="5" s="1"/>
  <c r="R493" i="5"/>
  <c r="R500" i="5" s="1"/>
  <c r="R512" i="5" s="1"/>
  <c r="L341" i="5"/>
  <c r="L493" i="5"/>
  <c r="L500" i="5" s="1"/>
  <c r="L512" i="5" s="1"/>
  <c r="P327" i="5"/>
  <c r="P479" i="5"/>
  <c r="P486" i="5" s="1"/>
  <c r="P510" i="5" s="1"/>
  <c r="N328" i="5"/>
  <c r="N480" i="5"/>
  <c r="N487" i="5" s="1"/>
  <c r="N511" i="5" s="1"/>
  <c r="K328" i="5"/>
  <c r="K480" i="5"/>
  <c r="K487" i="5" s="1"/>
  <c r="K511" i="5" s="1"/>
  <c r="Q342" i="5"/>
  <c r="Q349" i="5" s="1"/>
  <c r="Q361" i="5" s="1"/>
  <c r="Q494" i="5"/>
  <c r="Q501" i="5" s="1"/>
  <c r="Q513" i="5" s="1"/>
  <c r="M342" i="5"/>
  <c r="M349" i="5" s="1"/>
  <c r="M361" i="5" s="1"/>
  <c r="M494" i="5"/>
  <c r="M501" i="5" s="1"/>
  <c r="M513" i="5" s="1"/>
  <c r="L328" i="5"/>
  <c r="L480" i="5"/>
  <c r="L487" i="5" s="1"/>
  <c r="L511" i="5" s="1"/>
  <c r="H328" i="5"/>
  <c r="H480" i="5"/>
  <c r="H487" i="5" s="1"/>
  <c r="H511" i="5" s="1"/>
  <c r="J342" i="5"/>
  <c r="J349" i="5" s="1"/>
  <c r="J361" i="5" s="1"/>
  <c r="J494" i="5"/>
  <c r="J501" i="5" s="1"/>
  <c r="J513" i="5" s="1"/>
  <c r="R342" i="5"/>
  <c r="R349" i="5" s="1"/>
  <c r="R361" i="5" s="1"/>
  <c r="R494" i="5"/>
  <c r="R501" i="5" s="1"/>
  <c r="R513" i="5" s="1"/>
  <c r="L342" i="5"/>
  <c r="L349" i="5" s="1"/>
  <c r="L361" i="5" s="1"/>
  <c r="L494" i="5"/>
  <c r="L501" i="5" s="1"/>
  <c r="L513" i="5" s="1"/>
  <c r="P328" i="5"/>
  <c r="P480" i="5"/>
  <c r="P487" i="5" s="1"/>
  <c r="P511" i="5" s="1"/>
  <c r="K342" i="5"/>
  <c r="K349" i="5" s="1"/>
  <c r="K361" i="5" s="1"/>
  <c r="K494" i="5"/>
  <c r="K501" i="5" s="1"/>
  <c r="K513" i="5" s="1"/>
  <c r="G342" i="5"/>
  <c r="G349" i="5" s="1"/>
  <c r="G361" i="5" s="1"/>
  <c r="G494" i="5"/>
  <c r="G501" i="5" s="1"/>
  <c r="G513" i="5" s="1"/>
  <c r="O327" i="5"/>
  <c r="O479" i="5"/>
  <c r="O486" i="5" s="1"/>
  <c r="O510" i="5" s="1"/>
  <c r="M327" i="5"/>
  <c r="M479" i="5"/>
  <c r="M486" i="5" s="1"/>
  <c r="M510" i="5" s="1"/>
  <c r="O341" i="5"/>
  <c r="O348" i="5" s="1"/>
  <c r="O360" i="5" s="1"/>
  <c r="O493" i="5"/>
  <c r="O500" i="5" s="1"/>
  <c r="O512" i="5" s="1"/>
  <c r="H341" i="5"/>
  <c r="H493" i="5"/>
  <c r="H500" i="5" s="1"/>
  <c r="H512" i="5" s="1"/>
  <c r="Q327" i="5"/>
  <c r="Q479" i="5"/>
  <c r="Q486" i="5" s="1"/>
  <c r="Q510" i="5" s="1"/>
  <c r="J328" i="5"/>
  <c r="J480" i="5"/>
  <c r="J487" i="5" s="1"/>
  <c r="J511" i="5" s="1"/>
  <c r="I342" i="5"/>
  <c r="I349" i="5" s="1"/>
  <c r="I361" i="5" s="1"/>
  <c r="I494" i="5"/>
  <c r="I501" i="5" s="1"/>
  <c r="I513" i="5" s="1"/>
  <c r="I328" i="5"/>
  <c r="I480" i="5"/>
  <c r="I487" i="5" s="1"/>
  <c r="I511" i="5" s="1"/>
  <c r="P342" i="5"/>
  <c r="P349" i="5" s="1"/>
  <c r="P361" i="5" s="1"/>
  <c r="P494" i="5"/>
  <c r="P501" i="5" s="1"/>
  <c r="P513" i="5" s="1"/>
  <c r="N342" i="5"/>
  <c r="N349" i="5" s="1"/>
  <c r="N361" i="5" s="1"/>
  <c r="N494" i="5"/>
  <c r="N501" i="5" s="1"/>
  <c r="N513" i="5" s="1"/>
  <c r="Q341" i="5"/>
  <c r="Q493" i="5"/>
  <c r="Q500" i="5" s="1"/>
  <c r="Q512" i="5" s="1"/>
  <c r="J341" i="5"/>
  <c r="J348" i="5" s="1"/>
  <c r="J360" i="5" s="1"/>
  <c r="J493" i="5"/>
  <c r="J500" i="5" s="1"/>
  <c r="J512" i="5" s="1"/>
  <c r="K341" i="5"/>
  <c r="K493" i="5"/>
  <c r="K500" i="5" s="1"/>
  <c r="K512" i="5" s="1"/>
  <c r="T312" i="5"/>
  <c r="T416" i="5"/>
  <c r="T340" i="5"/>
  <c r="T388" i="5"/>
  <c r="T314" i="5"/>
  <c r="T313" i="5"/>
  <c r="Q387" i="5"/>
  <c r="Q396" i="5" s="1"/>
  <c r="Q432" i="5" s="1"/>
  <c r="T466" i="5"/>
  <c r="T473" i="5"/>
  <c r="T393" i="5"/>
  <c r="G311" i="5"/>
  <c r="T465" i="5"/>
  <c r="T472" i="5"/>
  <c r="G387" i="5"/>
  <c r="G396" i="5" s="1"/>
  <c r="G432" i="5" s="1"/>
  <c r="T489" i="5"/>
  <c r="T413" i="5"/>
  <c r="G415" i="5"/>
  <c r="T415" i="5" s="1"/>
  <c r="G339" i="5"/>
  <c r="B177" i="4"/>
  <c r="K208" i="5" s="1"/>
  <c r="N299" i="5" s="1"/>
  <c r="T299" i="5" s="1"/>
  <c r="I208" i="5"/>
  <c r="B178" i="4"/>
  <c r="K210" i="5" s="1"/>
  <c r="N301" i="5" s="1"/>
  <c r="T301" i="5" s="1"/>
  <c r="I210" i="5"/>
  <c r="N449" i="5"/>
  <c r="T449" i="5" s="1"/>
  <c r="N373" i="5"/>
  <c r="T373" i="5" s="1"/>
  <c r="I135" i="5"/>
  <c r="J140" i="5"/>
  <c r="I140" i="5"/>
  <c r="J137" i="5"/>
  <c r="I137" i="5"/>
  <c r="J138" i="5"/>
  <c r="I138" i="5"/>
  <c r="J139" i="5"/>
  <c r="I139" i="5"/>
  <c r="O139" i="5"/>
  <c r="O137" i="5"/>
  <c r="O135" i="5"/>
  <c r="G320" i="5" l="1"/>
  <c r="G356" i="5" s="1"/>
  <c r="G331" i="5"/>
  <c r="T331" i="5" s="1"/>
  <c r="T332" i="5"/>
  <c r="G348" i="5"/>
  <c r="G360" i="5" s="1"/>
  <c r="T356" i="5"/>
  <c r="H348" i="5"/>
  <c r="H360" i="5" s="1"/>
  <c r="R335" i="5"/>
  <c r="R359" i="5" s="1"/>
  <c r="M348" i="5"/>
  <c r="M360" i="5" s="1"/>
  <c r="N348" i="5"/>
  <c r="N360" i="5" s="1"/>
  <c r="L348" i="5"/>
  <c r="L360" i="5" s="1"/>
  <c r="T361" i="5"/>
  <c r="T357" i="5"/>
  <c r="K348" i="5"/>
  <c r="K360" i="5" s="1"/>
  <c r="Q348" i="5"/>
  <c r="Q360" i="5" s="1"/>
  <c r="P335" i="5"/>
  <c r="P359" i="5" s="1"/>
  <c r="O335" i="5"/>
  <c r="O359" i="5" s="1"/>
  <c r="J335" i="5"/>
  <c r="J359" i="5" s="1"/>
  <c r="Q335" i="5"/>
  <c r="Q359" i="5" s="1"/>
  <c r="L335" i="5"/>
  <c r="L359" i="5" s="1"/>
  <c r="K335" i="5"/>
  <c r="K359" i="5" s="1"/>
  <c r="M335" i="5"/>
  <c r="M359" i="5" s="1"/>
  <c r="H335" i="5"/>
  <c r="H359" i="5" s="1"/>
  <c r="H325" i="5"/>
  <c r="H334" i="5" s="1"/>
  <c r="H358" i="5" s="1"/>
  <c r="I335" i="5"/>
  <c r="I359" i="5" s="1"/>
  <c r="G335" i="5"/>
  <c r="G359" i="5" s="1"/>
  <c r="N335" i="5"/>
  <c r="N359" i="5" s="1"/>
  <c r="T510" i="5"/>
  <c r="T513" i="5"/>
  <c r="T511" i="5"/>
  <c r="T512" i="5"/>
  <c r="T432" i="5"/>
  <c r="T437" i="5"/>
  <c r="G424" i="5"/>
  <c r="G436" i="5" s="1"/>
  <c r="T397" i="5"/>
  <c r="T326" i="5"/>
  <c r="T402" i="5"/>
  <c r="T494" i="5"/>
  <c r="T321" i="5"/>
  <c r="T480" i="5"/>
  <c r="T328" i="5"/>
  <c r="T349" i="5"/>
  <c r="T342" i="5"/>
  <c r="T493" i="5"/>
  <c r="T327" i="5"/>
  <c r="T341" i="5"/>
  <c r="T339" i="5"/>
  <c r="T500" i="5"/>
  <c r="T387" i="5"/>
  <c r="T396" i="5"/>
  <c r="T311" i="5"/>
  <c r="T320" i="5"/>
  <c r="T501" i="5"/>
  <c r="T486" i="5"/>
  <c r="T479" i="5"/>
  <c r="L325" i="5"/>
  <c r="L334" i="5" s="1"/>
  <c r="L358" i="5" s="1"/>
  <c r="P401" i="5"/>
  <c r="P410" i="5" s="1"/>
  <c r="P434" i="5" s="1"/>
  <c r="H401" i="5"/>
  <c r="H410" i="5" s="1"/>
  <c r="H434" i="5" s="1"/>
  <c r="R401" i="5"/>
  <c r="R410" i="5" s="1"/>
  <c r="R434" i="5" s="1"/>
  <c r="G401" i="5"/>
  <c r="G410" i="5" s="1"/>
  <c r="G434" i="5" s="1"/>
  <c r="K325" i="5"/>
  <c r="K334" i="5" s="1"/>
  <c r="K358" i="5" s="1"/>
  <c r="M325" i="5"/>
  <c r="M334" i="5" s="1"/>
  <c r="M358" i="5" s="1"/>
  <c r="N401" i="5"/>
  <c r="N410" i="5" s="1"/>
  <c r="N434" i="5" s="1"/>
  <c r="J401" i="5"/>
  <c r="J410" i="5" s="1"/>
  <c r="J434" i="5" s="1"/>
  <c r="J325" i="5"/>
  <c r="J334" i="5" s="1"/>
  <c r="J358" i="5" s="1"/>
  <c r="R325" i="5"/>
  <c r="R334" i="5" s="1"/>
  <c r="R358" i="5" s="1"/>
  <c r="M401" i="5"/>
  <c r="M410" i="5" s="1"/>
  <c r="M434" i="5" s="1"/>
  <c r="I401" i="5"/>
  <c r="I410" i="5" s="1"/>
  <c r="I434" i="5" s="1"/>
  <c r="O401" i="5"/>
  <c r="O410" i="5" s="1"/>
  <c r="O434" i="5" s="1"/>
  <c r="Q325" i="5"/>
  <c r="Q334" i="5" s="1"/>
  <c r="Q358" i="5" s="1"/>
  <c r="L401" i="5"/>
  <c r="L410" i="5" s="1"/>
  <c r="L434" i="5" s="1"/>
  <c r="Q401" i="5"/>
  <c r="Q410" i="5" s="1"/>
  <c r="Q434" i="5" s="1"/>
  <c r="G325" i="5"/>
  <c r="K401" i="5"/>
  <c r="K410" i="5" s="1"/>
  <c r="K434" i="5" s="1"/>
  <c r="I325" i="5"/>
  <c r="I334" i="5" s="1"/>
  <c r="I358" i="5" s="1"/>
  <c r="N325" i="5"/>
  <c r="N334" i="5" s="1"/>
  <c r="N358" i="5" s="1"/>
  <c r="P325" i="5"/>
  <c r="P334" i="5" s="1"/>
  <c r="P358" i="5" s="1"/>
  <c r="O325" i="5"/>
  <c r="O334" i="5" s="1"/>
  <c r="O358" i="5" s="1"/>
  <c r="N377" i="5"/>
  <c r="T377" i="5" s="1"/>
  <c r="N453" i="5"/>
  <c r="T453" i="5" s="1"/>
  <c r="N375" i="5"/>
  <c r="T375" i="5" s="1"/>
  <c r="N451" i="5"/>
  <c r="T451" i="5" s="1"/>
  <c r="P139" i="5"/>
  <c r="P137" i="5"/>
  <c r="P135" i="5"/>
  <c r="G334" i="5" l="1"/>
  <c r="G358" i="5" s="1"/>
  <c r="T358" i="5" s="1"/>
  <c r="T348" i="5"/>
  <c r="T360" i="5"/>
  <c r="T359" i="5"/>
  <c r="T434" i="5"/>
  <c r="T435" i="5"/>
  <c r="T411" i="5"/>
  <c r="T408" i="5"/>
  <c r="T487" i="5"/>
  <c r="T335" i="5"/>
  <c r="T425" i="5"/>
  <c r="T422" i="5"/>
  <c r="T421" i="5"/>
  <c r="T424" i="5"/>
  <c r="T325" i="5"/>
  <c r="T401" i="5"/>
  <c r="P138" i="5"/>
  <c r="O138" i="5"/>
  <c r="P136" i="5"/>
  <c r="O136" i="5"/>
  <c r="P140" i="5"/>
  <c r="O140" i="5"/>
  <c r="T433" i="5" l="1"/>
  <c r="T436" i="5"/>
  <c r="T410" i="5"/>
  <c r="T407" i="5"/>
  <c r="T334" i="5"/>
</calcChain>
</file>

<file path=xl/comments1.xml><?xml version="1.0" encoding="utf-8"?>
<comments xmlns="http://schemas.openxmlformats.org/spreadsheetml/2006/main">
  <authors>
    <author>Melanie Carrasco</author>
  </authors>
  <commentList>
    <comment ref="I15" authorId="0">
      <text>
        <r>
          <rPr>
            <b/>
            <sz val="8"/>
            <color indexed="81"/>
            <rFont val="Tahoma"/>
            <family val="2"/>
          </rPr>
          <t>Melanie Carrasco:</t>
        </r>
        <r>
          <rPr>
            <sz val="8"/>
            <color indexed="81"/>
            <rFont val="Tahoma"/>
            <family val="2"/>
          </rPr>
          <t xml:space="preserve">
Comment!
</t>
        </r>
      </text>
    </comment>
  </commentList>
</comments>
</file>

<file path=xl/comments2.xml><?xml version="1.0" encoding="utf-8"?>
<comments xmlns="http://schemas.openxmlformats.org/spreadsheetml/2006/main">
  <authors>
    <author>Melanie Carrasco</author>
  </authors>
  <commentList>
    <comment ref="P16" authorId="0">
      <text>
        <r>
          <rPr>
            <b/>
            <sz val="10"/>
            <color indexed="81"/>
            <rFont val="Tahoma"/>
            <family val="2"/>
          </rPr>
          <t>Melanie Carrasco:</t>
        </r>
        <r>
          <rPr>
            <sz val="10"/>
            <color indexed="81"/>
            <rFont val="Tahoma"/>
            <family val="2"/>
          </rPr>
          <t xml:space="preserve">
Expected to be higher than the national average of 2.7% due to the rehabilitation (tarmac) of the highway</t>
        </r>
      </text>
    </comment>
    <comment ref="E18" authorId="0">
      <text>
        <r>
          <rPr>
            <b/>
            <sz val="8"/>
            <color indexed="81"/>
            <rFont val="Tahoma"/>
            <family val="2"/>
          </rPr>
          <t>Melanie Carrasco:</t>
        </r>
        <r>
          <rPr>
            <sz val="8"/>
            <color indexed="81"/>
            <rFont val="Tahoma"/>
            <family val="2"/>
          </rPr>
          <t xml:space="preserve">
CENSUS 2009</t>
        </r>
      </text>
    </comment>
    <comment ref="F18" authorId="0">
      <text>
        <r>
          <rPr>
            <b/>
            <sz val="8"/>
            <color indexed="81"/>
            <rFont val="Tahoma"/>
            <family val="2"/>
          </rPr>
          <t>Melanie Carrasco:</t>
        </r>
        <r>
          <rPr>
            <sz val="8"/>
            <color indexed="81"/>
            <rFont val="Tahoma"/>
            <family val="2"/>
          </rPr>
          <t xml:space="preserve">
CENSUS 2009</t>
        </r>
      </text>
    </comment>
    <comment ref="H18" authorId="0">
      <text>
        <r>
          <rPr>
            <b/>
            <sz val="8"/>
            <color indexed="81"/>
            <rFont val="Tahoma"/>
            <family val="2"/>
          </rPr>
          <t>Melanie Carrasco:</t>
        </r>
        <r>
          <rPr>
            <sz val="8"/>
            <color indexed="81"/>
            <rFont val="Tahoma"/>
            <family val="2"/>
          </rPr>
          <t xml:space="preserve">
</t>
        </r>
        <r>
          <rPr>
            <sz val="12"/>
            <color indexed="81"/>
            <rFont val="Tahoma"/>
            <family val="2"/>
          </rPr>
          <t>=(2025+2895)/(310+753) [Census 2009]
Value seems low - TO BE DOUBLE-CHECKED WITH CARE</t>
        </r>
      </text>
    </comment>
    <comment ref="E19" authorId="0">
      <text>
        <r>
          <rPr>
            <b/>
            <sz val="8"/>
            <color indexed="81"/>
            <rFont val="Tahoma"/>
            <family val="2"/>
          </rPr>
          <t>Melanie Carrasco:</t>
        </r>
        <r>
          <rPr>
            <sz val="8"/>
            <color indexed="81"/>
            <rFont val="Tahoma"/>
            <family val="2"/>
          </rPr>
          <t xml:space="preserve">
CENSUS 2009</t>
        </r>
      </text>
    </comment>
    <comment ref="F19" authorId="0">
      <text>
        <r>
          <rPr>
            <b/>
            <sz val="8"/>
            <color indexed="81"/>
            <rFont val="Tahoma"/>
            <family val="2"/>
          </rPr>
          <t>Melanie Carrasco:</t>
        </r>
        <r>
          <rPr>
            <sz val="8"/>
            <color indexed="81"/>
            <rFont val="Tahoma"/>
            <family val="2"/>
          </rPr>
          <t xml:space="preserve">
CENSUS 2009</t>
        </r>
      </text>
    </comment>
  </commentList>
</comments>
</file>

<file path=xl/comments3.xml><?xml version="1.0" encoding="utf-8"?>
<comments xmlns="http://schemas.openxmlformats.org/spreadsheetml/2006/main">
  <authors>
    <author>Melanie Carrasco</author>
  </authors>
  <commentList>
    <comment ref="H16" authorId="0">
      <text>
        <r>
          <rPr>
            <b/>
            <sz val="11"/>
            <color indexed="81"/>
            <rFont val="Tahoma"/>
            <family val="2"/>
          </rPr>
          <t>Melanie Carrasco:</t>
        </r>
        <r>
          <rPr>
            <sz val="11"/>
            <color indexed="81"/>
            <rFont val="Tahoma"/>
            <family val="2"/>
          </rPr>
          <t xml:space="preserve">
No FAO livestock Unit available for donkeys - a value of 0.6 is chosen, as compared to horses which is 0.8</t>
        </r>
      </text>
    </comment>
  </commentList>
</comments>
</file>

<file path=xl/comments4.xml><?xml version="1.0" encoding="utf-8"?>
<comments xmlns="http://schemas.openxmlformats.org/spreadsheetml/2006/main">
  <authors>
    <author>Melanie Carrasco</author>
  </authors>
  <commentList>
    <comment ref="C49" authorId="0">
      <text>
        <r>
          <rPr>
            <b/>
            <sz val="8"/>
            <color indexed="81"/>
            <rFont val="Tahoma"/>
            <family val="2"/>
          </rPr>
          <t>Melanie Carrasco:</t>
        </r>
        <r>
          <rPr>
            <sz val="8"/>
            <color indexed="81"/>
            <rFont val="Tahoma"/>
            <family val="2"/>
          </rPr>
          <t xml:space="preserve">
Indicative values not available</t>
        </r>
      </text>
    </comment>
  </commentList>
</comments>
</file>

<file path=xl/comments5.xml><?xml version="1.0" encoding="utf-8"?>
<comments xmlns="http://schemas.openxmlformats.org/spreadsheetml/2006/main">
  <authors>
    <author>Melanie Carrasco</author>
  </authors>
  <commentList>
    <comment ref="G11" authorId="0">
      <text>
        <r>
          <rPr>
            <b/>
            <sz val="10"/>
            <color indexed="81"/>
            <rFont val="Tahoma"/>
            <family val="2"/>
          </rPr>
          <t>Melanie Carrasco:</t>
        </r>
        <r>
          <rPr>
            <sz val="10"/>
            <color indexed="81"/>
            <rFont val="Tahoma"/>
            <family val="2"/>
          </rPr>
          <t xml:space="preserve">
Estimated WVI staff</t>
        </r>
      </text>
    </comment>
    <comment ref="G14" authorId="0">
      <text>
        <r>
          <rPr>
            <b/>
            <sz val="10"/>
            <color indexed="81"/>
            <rFont val="Tahoma"/>
            <family val="2"/>
          </rPr>
          <t>Melanie Carrasco:</t>
        </r>
        <r>
          <rPr>
            <sz val="10"/>
            <color indexed="81"/>
            <rFont val="Tahoma"/>
            <family val="2"/>
          </rPr>
          <t xml:space="preserve">
Estimated WVI staff</t>
        </r>
      </text>
    </comment>
    <comment ref="F24" authorId="0">
      <text>
        <r>
          <rPr>
            <b/>
            <sz val="10"/>
            <color indexed="81"/>
            <rFont val="Tahoma"/>
            <family val="2"/>
          </rPr>
          <t>Melanie Carrasco:</t>
        </r>
        <r>
          <rPr>
            <sz val="10"/>
            <color indexed="81"/>
            <rFont val="Tahoma"/>
            <family val="2"/>
          </rPr>
          <t xml:space="preserve">
Estimated WVI staff</t>
        </r>
      </text>
    </comment>
  </commentList>
</comments>
</file>

<file path=xl/sharedStrings.xml><?xml version="1.0" encoding="utf-8"?>
<sst xmlns="http://schemas.openxmlformats.org/spreadsheetml/2006/main" count="1240" uniqueCount="337">
  <si>
    <t>Year</t>
  </si>
  <si>
    <t>Population</t>
  </si>
  <si>
    <t>Basic domestic</t>
  </si>
  <si>
    <t>Basic MUS</t>
  </si>
  <si>
    <t>Intermediate MUS</t>
  </si>
  <si>
    <t>m3/d</t>
  </si>
  <si>
    <t>HH</t>
  </si>
  <si>
    <t xml:space="preserve">Basic MUS: </t>
  </si>
  <si>
    <t>Most domestic needs, some livestock, small garden or tree</t>
  </si>
  <si>
    <t>Intermediate MUS:</t>
  </si>
  <si>
    <t>All domestic needs, livestock, garden, trees, small enterprise</t>
  </si>
  <si>
    <t>High level MUS</t>
  </si>
  <si>
    <t xml:space="preserve">High level MUS: </t>
  </si>
  <si>
    <t>All domestic needs, combination of livestock + garden + trees and small enterprises</t>
  </si>
  <si>
    <t>FEWSNET estimate:</t>
  </si>
  <si>
    <t>FEWSNET estimate on livestock</t>
  </si>
  <si>
    <t>Cattle</t>
  </si>
  <si>
    <t>Goats</t>
  </si>
  <si>
    <t>Sheep</t>
  </si>
  <si>
    <t>Camels</t>
  </si>
  <si>
    <t>Donkey</t>
  </si>
  <si>
    <t>LU</t>
  </si>
  <si>
    <t>FAO LU:</t>
  </si>
  <si>
    <t>Livestock Unit</t>
  </si>
  <si>
    <t>Livestock</t>
  </si>
  <si>
    <t>Total</t>
  </si>
  <si>
    <t xml:space="preserve">Water Demand </t>
  </si>
  <si>
    <t>L / head (LU) / day</t>
  </si>
  <si>
    <t>L / d</t>
  </si>
  <si>
    <t>Number of livestock heads</t>
  </si>
  <si>
    <t>POPULATION</t>
  </si>
  <si>
    <t>[20-50]</t>
  </si>
  <si>
    <t>[50-100]</t>
  </si>
  <si>
    <t>[100-200]</t>
  </si>
  <si>
    <t>[5-20]</t>
  </si>
  <si>
    <t>per HH</t>
  </si>
  <si>
    <t>Agriculture</t>
  </si>
  <si>
    <t>Assumptions:</t>
  </si>
  <si>
    <t>CROP</t>
  </si>
  <si>
    <t>Maize</t>
  </si>
  <si>
    <t>Sorghum</t>
  </si>
  <si>
    <t>Cabbage</t>
  </si>
  <si>
    <t>Tomato</t>
  </si>
  <si>
    <t>m2</t>
  </si>
  <si>
    <t>Water demand</t>
  </si>
  <si>
    <t>MIN</t>
  </si>
  <si>
    <t>MAX</t>
  </si>
  <si>
    <t>JAN</t>
  </si>
  <si>
    <t>MAR</t>
  </si>
  <si>
    <t>APR</t>
  </si>
  <si>
    <t>MAY</t>
  </si>
  <si>
    <t>JUN</t>
  </si>
  <si>
    <t>JUL</t>
  </si>
  <si>
    <t>AUG</t>
  </si>
  <si>
    <t>SEP</t>
  </si>
  <si>
    <t>OCT</t>
  </si>
  <si>
    <t>NOV</t>
  </si>
  <si>
    <t>DEC</t>
  </si>
  <si>
    <t>Seasonal livestock</t>
  </si>
  <si>
    <t>FAO LU</t>
  </si>
  <si>
    <t># heads</t>
  </si>
  <si>
    <t>Water demand
m3/day</t>
  </si>
  <si>
    <t>Harvest 1</t>
  </si>
  <si>
    <t>Harvest 2</t>
  </si>
  <si>
    <t>months</t>
  </si>
  <si>
    <t>TOTAL</t>
  </si>
  <si>
    <t>Water demand (L /h /day)</t>
  </si>
  <si>
    <t>Water demand (L /h/day)</t>
  </si>
  <si>
    <t>People</t>
  </si>
  <si>
    <t xml:space="preserve">FAO Livestock Unit (Sub-Saharan Africa) </t>
  </si>
  <si>
    <t>Assumption 1:</t>
  </si>
  <si>
    <t>Assumption 2:</t>
  </si>
  <si>
    <t>Calculations:</t>
  </si>
  <si>
    <t>Average people per HH</t>
  </si>
  <si>
    <t>Water demand (L or m3/day)</t>
  </si>
  <si>
    <t>Assumption :</t>
  </si>
  <si>
    <r>
      <t xml:space="preserve">Livestock - </t>
    </r>
    <r>
      <rPr>
        <i/>
        <sz val="11"/>
        <color theme="1"/>
        <rFont val="Calibri"/>
        <family val="2"/>
        <scheme val="minor"/>
      </rPr>
      <t>Method 1</t>
    </r>
  </si>
  <si>
    <r>
      <t xml:space="preserve">Livestock - </t>
    </r>
    <r>
      <rPr>
        <i/>
        <sz val="11"/>
        <color theme="1"/>
        <rFont val="Calibri"/>
        <family val="2"/>
        <scheme val="minor"/>
      </rPr>
      <t>Method 2</t>
    </r>
  </si>
  <si>
    <r>
      <t xml:space="preserve">Livestock - </t>
    </r>
    <r>
      <rPr>
        <i/>
        <sz val="11"/>
        <color theme="1"/>
        <rFont val="Calibri"/>
        <family val="2"/>
        <scheme val="minor"/>
      </rPr>
      <t>Method 3</t>
    </r>
  </si>
  <si>
    <t>Sum</t>
  </si>
  <si>
    <t>Data collected:</t>
  </si>
  <si>
    <t>as compared to</t>
  </si>
  <si>
    <t>if only a total number of animals is given, FEWSNET ratio applies to know the number of head per type of animal</t>
  </si>
  <si>
    <t>Average daily water need of standard grass during irrigation season</t>
  </si>
  <si>
    <t>mm/day</t>
  </si>
  <si>
    <t>Chosen</t>
  </si>
  <si>
    <t>Growing period (days)</t>
  </si>
  <si>
    <t>mm/year</t>
  </si>
  <si>
    <t>DOMESTIC WATER DEMAND</t>
  </si>
  <si>
    <t>FAO Livestock Unit (Sub-Saharan Africa) - Not available for donkeys</t>
  </si>
  <si>
    <t>FAO 
LU</t>
  </si>
  <si>
    <t>LIVESTOCK WATER DEMAND</t>
  </si>
  <si>
    <t>January</t>
  </si>
  <si>
    <t>February</t>
  </si>
  <si>
    <t>March</t>
  </si>
  <si>
    <t>April</t>
  </si>
  <si>
    <t>May</t>
  </si>
  <si>
    <t>June</t>
  </si>
  <si>
    <t>July</t>
  </si>
  <si>
    <t>August</t>
  </si>
  <si>
    <t>September</t>
  </si>
  <si>
    <t>October</t>
  </si>
  <si>
    <t>November</t>
  </si>
  <si>
    <t>December</t>
  </si>
  <si>
    <t xml:space="preserve">Based on </t>
  </si>
  <si>
    <t>L/h/day</t>
  </si>
  <si>
    <t>AGRICULTURE WATER DEMAND</t>
  </si>
  <si>
    <t>CENSUS Data</t>
  </si>
  <si>
    <t xml:space="preserve">Method 2: </t>
  </si>
  <si>
    <t>FEWSNET estimates</t>
  </si>
  <si>
    <t xml:space="preserve">Method 1:  </t>
  </si>
  <si>
    <t xml:space="preserve">Method 3: </t>
  </si>
  <si>
    <t>Field data</t>
  </si>
  <si>
    <t>(Eto = reference evapo-transpiration)</t>
  </si>
  <si>
    <t>Year of the latest population census:</t>
  </si>
  <si>
    <t>Moyale</t>
  </si>
  <si>
    <t>DISTRICT:</t>
  </si>
  <si>
    <t>SUB-LOCATIONS:</t>
  </si>
  <si>
    <t xml:space="preserve">Annual growth rate (%): </t>
  </si>
  <si>
    <t>Multiplying factor:</t>
  </si>
  <si>
    <t xml:space="preserve"> </t>
  </si>
  <si>
    <t>CURRENT YEAR:</t>
  </si>
  <si>
    <t>METHODOLOGY 1</t>
  </si>
  <si>
    <t>METHODOLOGY 2</t>
  </si>
  <si>
    <t>SUMMARY 3 METHODS</t>
  </si>
  <si>
    <t>mm/month</t>
  </si>
  <si>
    <t>Average yearly rainfall (P)</t>
  </si>
  <si>
    <t>Effective rainfall (Pe)</t>
  </si>
  <si>
    <t>Initial</t>
  </si>
  <si>
    <t>Dev</t>
  </si>
  <si>
    <t>Mid season</t>
  </si>
  <si>
    <t>Late</t>
  </si>
  <si>
    <t>Crop factor (Kc) per growth stage</t>
  </si>
  <si>
    <t>Eto=</t>
  </si>
  <si>
    <t>ETo x Kc = ETcrop</t>
  </si>
  <si>
    <t>With ETo = reference evapo transpiration, Kc = crop factor and Etcrop = crop water need)</t>
  </si>
  <si>
    <t>1 - REFERENCE EVAPO-TRANSPIRATION (ETo)</t>
  </si>
  <si>
    <t>3 - EFFECTIVE RAINFALL (Pe)</t>
  </si>
  <si>
    <t>ETcrop - Pe = Irrigation water need</t>
  </si>
  <si>
    <t>with Pe = effective rain</t>
  </si>
  <si>
    <t>2 - CROP WATER NEED (ETcrop)</t>
  </si>
  <si>
    <t>Duration of growth stage (days)</t>
  </si>
  <si>
    <t>ETcrop (mm/day)</t>
  </si>
  <si>
    <r>
      <t xml:space="preserve">ETcrop </t>
    </r>
    <r>
      <rPr>
        <sz val="8"/>
        <color theme="1"/>
        <rFont val="Calibri"/>
        <family val="2"/>
        <scheme val="minor"/>
      </rPr>
      <t>mm/ Total growing season</t>
    </r>
  </si>
  <si>
    <r>
      <t xml:space="preserve">ETcrop </t>
    </r>
    <r>
      <rPr>
        <sz val="8"/>
        <color theme="1"/>
        <rFont val="Calibri"/>
        <family val="2"/>
        <scheme val="minor"/>
      </rPr>
      <t>mm/ month (average)</t>
    </r>
  </si>
  <si>
    <t>AVERAGE</t>
  </si>
  <si>
    <r>
      <t xml:space="preserve">Indicative value of Etcrop
</t>
    </r>
    <r>
      <rPr>
        <i/>
        <sz val="9"/>
        <color theme="0" tint="-0.499984740745262"/>
        <rFont val="Calibri"/>
        <family val="2"/>
        <scheme val="minor"/>
      </rPr>
      <t>(mm / total growing period)</t>
    </r>
    <r>
      <rPr>
        <i/>
        <sz val="11"/>
        <color theme="0" tint="-0.499984740745262"/>
        <rFont val="Calibri"/>
        <family val="2"/>
        <scheme val="minor"/>
      </rPr>
      <t xml:space="preserve">
</t>
    </r>
  </si>
  <si>
    <t>FEB</t>
  </si>
  <si>
    <t>Monthly average rainfall (mm/month):</t>
  </si>
  <si>
    <t>Effective rainfall - Pe (mm/month):</t>
  </si>
  <si>
    <t>Pe</t>
  </si>
  <si>
    <t>Rainfall</t>
  </si>
  <si>
    <t>Beans</t>
  </si>
  <si>
    <t>Groundnut</t>
  </si>
  <si>
    <t>Spinach</t>
  </si>
  <si>
    <t>Growing period
(days)</t>
  </si>
  <si>
    <r>
      <t xml:space="preserve">ETcrop </t>
    </r>
    <r>
      <rPr>
        <sz val="8"/>
        <color theme="1"/>
        <rFont val="Calibri"/>
        <family val="2"/>
        <scheme val="minor"/>
      </rPr>
      <t>mm/ month</t>
    </r>
  </si>
  <si>
    <t>Growing period 
(month)</t>
  </si>
  <si>
    <t xml:space="preserve">per month during </t>
  </si>
  <si>
    <t>Surface of land per HH:</t>
  </si>
  <si>
    <t>acre</t>
  </si>
  <si>
    <t>Irrigation water needs (m3/month)</t>
  </si>
  <si>
    <t>% of HH having a garden</t>
  </si>
  <si>
    <t>ETCrop (mm/month):</t>
  </si>
  <si>
    <t>4 - IRRIGATION WATER NEEDS (= ETCrop - Pe) in mm/month</t>
  </si>
  <si>
    <t>% of each crop in the garden</t>
  </si>
  <si>
    <t>S per crop (m2)</t>
  </si>
  <si>
    <t>Influence of seasonal migration on water demand</t>
  </si>
  <si>
    <t>Water demand
L/head(LU)/day</t>
  </si>
  <si>
    <t>Water demand
m3/month</t>
  </si>
  <si>
    <t>1 - NUMBER OF LIVESTOCK AND PEOPLE COMING TO THE AREA</t>
  </si>
  <si>
    <t>m3 / year</t>
  </si>
  <si>
    <t>GENERAL DATA</t>
  </si>
  <si>
    <t>1 - General</t>
  </si>
  <si>
    <t xml:space="preserve">2 - Water demand using the MUS ladder </t>
  </si>
  <si>
    <t>1 - METHODOLOGY 1 - Using FEWSNET Estimates</t>
  </si>
  <si>
    <t>2 - METHODOLOGY 2 - Using CENSUS data</t>
  </si>
  <si>
    <t>3 - METHODOLOGY 3 - Using data from FDG</t>
  </si>
  <si>
    <t>Calculation of the domestic water need</t>
  </si>
  <si>
    <t>Calculation of the  livestock water need</t>
  </si>
  <si>
    <r>
      <t xml:space="preserve">Total
</t>
    </r>
    <r>
      <rPr>
        <sz val="11"/>
        <color theme="1"/>
        <rFont val="Calibri"/>
        <family val="2"/>
        <scheme val="minor"/>
      </rPr>
      <t>(m3/year)</t>
    </r>
  </si>
  <si>
    <t>Irrigation water needs (m3/year)</t>
  </si>
  <si>
    <t>Irrigation water needs (m3/day)</t>
  </si>
  <si>
    <t>2 - SEASONAL WATER DEMAND</t>
  </si>
  <si>
    <t>Seasonal water demand : m3 per month</t>
  </si>
  <si>
    <t>Seasonal water demand : m3 per year</t>
  </si>
  <si>
    <t>Seasonal water demand : average m3 per day</t>
  </si>
  <si>
    <t>m3 / day</t>
  </si>
  <si>
    <t>month</t>
  </si>
  <si>
    <t>day</t>
  </si>
  <si>
    <r>
      <t xml:space="preserve">Average
</t>
    </r>
    <r>
      <rPr>
        <sz val="11"/>
        <color theme="1"/>
        <rFont val="Calibri"/>
        <family val="2"/>
        <scheme val="minor"/>
      </rPr>
      <t>(m3/day)</t>
    </r>
  </si>
  <si>
    <t>Irrigation water need (m3/month and average m3/day)</t>
  </si>
  <si>
    <t>Average / day</t>
  </si>
  <si>
    <t>Irrigation water need</t>
  </si>
  <si>
    <t>m3/year</t>
  </si>
  <si>
    <t>m3/day</t>
  </si>
  <si>
    <t>SEASONAL WATER DEMAND</t>
  </si>
  <si>
    <t>Migration of people and livestock</t>
  </si>
  <si>
    <t>Seasonal water demand (m3/month and average m3/day)</t>
  </si>
  <si>
    <t>Seasonal water demand</t>
  </si>
  <si>
    <t>m3 / d</t>
  </si>
  <si>
    <t>METHODOLOGY 3</t>
  </si>
  <si>
    <t>Eto:</t>
  </si>
  <si>
    <t>Kc:</t>
  </si>
  <si>
    <t>ETCrop:</t>
  </si>
  <si>
    <t xml:space="preserve">Growing period: </t>
  </si>
  <si>
    <t>period between sowing to the last day of the harvest</t>
  </si>
  <si>
    <t>crop water need; amount of water needed to meet the loss through evapo-transpiration</t>
  </si>
  <si>
    <t>reference crop evapo-transpiration (in this case, grass is taken as reference crop)</t>
  </si>
  <si>
    <t>crop factor; factor between the reference grass crop and the crop actually grown</t>
  </si>
  <si>
    <t xml:space="preserve">Eto = </t>
  </si>
  <si>
    <t>Crop</t>
  </si>
  <si>
    <t>Growing period</t>
  </si>
  <si>
    <t>(days)</t>
  </si>
  <si>
    <t>Assumption 3:</t>
  </si>
  <si>
    <t>Garissa</t>
  </si>
  <si>
    <t>Wajir</t>
  </si>
  <si>
    <t>Maralal</t>
  </si>
  <si>
    <t>Lodwar</t>
  </si>
  <si>
    <t>Lokitaung</t>
  </si>
  <si>
    <t>Assumption 4:</t>
  </si>
  <si>
    <t>Rainfal station used:</t>
  </si>
  <si>
    <t>Some definitions</t>
  </si>
  <si>
    <t>J.K.I.A.</t>
  </si>
  <si>
    <t>Kapoeta</t>
  </si>
  <si>
    <t>Katakwi</t>
  </si>
  <si>
    <t>Lamu</t>
  </si>
  <si>
    <t>Lug-ganane</t>
  </si>
  <si>
    <t>Marsabit</t>
  </si>
  <si>
    <t>Average ASAL region</t>
  </si>
  <si>
    <t xml:space="preserve">   Average number of people per household is</t>
  </si>
  <si>
    <t xml:space="preserve">  Annual population growth rate considered is</t>
  </si>
  <si>
    <t xml:space="preserve">Methodology 1:  </t>
  </si>
  <si>
    <t xml:space="preserve">Methodology 2: </t>
  </si>
  <si>
    <t xml:space="preserve">Methodology 3: </t>
  </si>
  <si>
    <t>Information are provided 
only for crops selected within
 the targeted area</t>
  </si>
  <si>
    <t>Surface of land per HH (acre):</t>
  </si>
  <si>
    <t>% of HH having a garden:</t>
  </si>
  <si>
    <t>Assumption 5:</t>
  </si>
  <si>
    <t>Number of livestock and people coming to the area at peak period:</t>
  </si>
  <si>
    <t>LU:</t>
  </si>
  <si>
    <t>people</t>
  </si>
  <si>
    <t>Month</t>
  </si>
  <si>
    <t>Definition:</t>
  </si>
  <si>
    <t>Months for which seasonal population was considered:</t>
  </si>
  <si>
    <t>Migration</t>
  </si>
  <si>
    <r>
      <rPr>
        <sz val="18"/>
        <color theme="1"/>
        <rFont val="Calibri"/>
        <family val="2"/>
        <scheme val="minor"/>
      </rPr>
      <t>SUMMARY TABLES</t>
    </r>
    <r>
      <rPr>
        <sz val="24"/>
        <color theme="1"/>
        <rFont val="Calibri"/>
        <family val="2"/>
        <scheme val="minor"/>
      </rPr>
      <t xml:space="preserve">
</t>
    </r>
    <r>
      <rPr>
        <sz val="12"/>
        <color theme="1"/>
        <rFont val="Calibri"/>
        <family val="2"/>
        <scheme val="minor"/>
      </rPr>
      <t>to copy-paste for easy reporting</t>
    </r>
  </si>
  <si>
    <t>These tables are generated automatically and should no be modified</t>
  </si>
  <si>
    <t>Water demand (m3/month and average m3/day for each month)</t>
  </si>
  <si>
    <t>+ population</t>
  </si>
  <si>
    <t>with 
Livestock = Method 1</t>
  </si>
  <si>
    <t>with 
Livestock = Method 2</t>
  </si>
  <si>
    <t>with 
Livestock = Method 3</t>
  </si>
  <si>
    <t>Millet</t>
  </si>
  <si>
    <t>Onion dry</t>
  </si>
  <si>
    <t>Melon</t>
  </si>
  <si>
    <t>Enter a value for chosen crops only</t>
  </si>
  <si>
    <r>
      <t xml:space="preserve">Number additional </t>
    </r>
    <r>
      <rPr>
        <b/>
        <sz val="11"/>
        <color theme="1"/>
        <rFont val="Calibri"/>
        <family val="2"/>
        <scheme val="minor"/>
      </rPr>
      <t>livestock</t>
    </r>
    <r>
      <rPr>
        <sz val="11"/>
        <color theme="1"/>
        <rFont val="Calibri"/>
        <family val="2"/>
        <scheme val="minor"/>
      </rPr>
      <t xml:space="preserve"> migrating to the area at the </t>
    </r>
    <r>
      <rPr>
        <b/>
        <sz val="11"/>
        <color theme="1"/>
        <rFont val="Calibri"/>
        <family val="2"/>
        <scheme val="minor"/>
      </rPr>
      <t>peak period</t>
    </r>
  </si>
  <si>
    <r>
      <t xml:space="preserve">Number additional </t>
    </r>
    <r>
      <rPr>
        <b/>
        <sz val="11"/>
        <color theme="1"/>
        <rFont val="Calibri"/>
        <family val="2"/>
        <scheme val="minor"/>
      </rPr>
      <t>people</t>
    </r>
    <r>
      <rPr>
        <sz val="11"/>
        <color theme="1"/>
        <rFont val="Calibri"/>
        <family val="2"/>
        <scheme val="minor"/>
      </rPr>
      <t xml:space="preserve"> migrating to the area at the </t>
    </r>
    <r>
      <rPr>
        <b/>
        <sz val="11"/>
        <color theme="1"/>
        <rFont val="Calibri"/>
        <family val="2"/>
        <scheme val="minor"/>
      </rPr>
      <t>peak period</t>
    </r>
  </si>
  <si>
    <t>Enter a "0" for months where no livestock is coming, "1" for the peak period and "0.x" (x between 1 and 9) for months in between</t>
  </si>
  <si>
    <t>Coefficient per month (as compared to the peak period)</t>
  </si>
  <si>
    <t>FEWNET ESTIMATES</t>
  </si>
  <si>
    <t>CENSUS DATA</t>
  </si>
  <si>
    <t>FIELD DATA</t>
  </si>
  <si>
    <t>Type of irrigation:</t>
  </si>
  <si>
    <t>% of the surface in drip irrigation</t>
  </si>
  <si>
    <t>% of the surface in flood irrigation</t>
  </si>
  <si>
    <t>% of water saving of drip versus flood irrigation:</t>
  </si>
  <si>
    <t>Local data</t>
  </si>
  <si>
    <t>If you wish to use local rainfall data instead of rainfall station data, choose "14" above and enter below your own data:</t>
  </si>
  <si>
    <t>Station:</t>
  </si>
  <si>
    <t>Rainfall station available:</t>
  </si>
  <si>
    <t>% of water saving with drip irrigation</t>
  </si>
  <si>
    <t>% of the surface in drip irrigation:</t>
  </si>
  <si>
    <t>Reference table:</t>
  </si>
  <si>
    <r>
      <t xml:space="preserve">population data  used for calculations are taken from the </t>
    </r>
    <r>
      <rPr>
        <b/>
        <sz val="11"/>
        <color theme="1"/>
        <rFont val="Calibri"/>
        <family val="2"/>
        <scheme val="minor"/>
      </rPr>
      <t>CENSUS</t>
    </r>
    <r>
      <rPr>
        <sz val="11"/>
        <color theme="1"/>
        <rFont val="Calibri"/>
        <family val="2"/>
        <scheme val="minor"/>
      </rPr>
      <t xml:space="preserve"> </t>
    </r>
  </si>
  <si>
    <t>The average household keeps 10‐30 goats, 10‐20 camels, 5‐10 sheep and 5‐15 cattle</t>
  </si>
  <si>
    <t>WILDLIFE WATER DEMAND</t>
  </si>
  <si>
    <t>Wildlife</t>
  </si>
  <si>
    <t>SUMMARY TABLES</t>
  </si>
  <si>
    <t>TABLES PER TYPE OF WATER DEMAND</t>
  </si>
  <si>
    <t>GENERAL</t>
  </si>
  <si>
    <t>GUIDELINES</t>
  </si>
  <si>
    <t>Calculation of the wildlife water need</t>
  </si>
  <si>
    <t xml:space="preserve">wildlife consumes </t>
  </si>
  <si>
    <t>of the livestock water need calculated for the area</t>
  </si>
  <si>
    <t>water demand is calculated based on the livestock water demand</t>
  </si>
  <si>
    <t>Reminder:</t>
  </si>
  <si>
    <t>Livestock water demandcalculations are based on Methodology (enter number):</t>
  </si>
  <si>
    <t>Methodology:</t>
  </si>
  <si>
    <t>Tab 1  - General data</t>
  </si>
  <si>
    <t>What is in there?</t>
  </si>
  <si>
    <t>What to be careful of?</t>
  </si>
  <si>
    <t xml:space="preserve">In the calculation table, only cells in </t>
  </si>
  <si>
    <t>yellow</t>
  </si>
  <si>
    <t>have to be filled-in! All other cells have automatically generated datas and cannot be modified.</t>
  </si>
  <si>
    <t>GENERAL RULES:</t>
  </si>
  <si>
    <t>TAB PER TAB</t>
  </si>
  <si>
    <t xml:space="preserve">This Excel file gives an example of calculation for your county pilot area. However, you will re-use this calcuation sheet in the future to calculate water demand in other areas. </t>
  </si>
  <si>
    <t>Before trying to fill-in the Excel file, please carefully read the guidelines below and have a closer look at the calculations for the pilot area, to understand how the Excel sheet works.</t>
  </si>
  <si>
    <t xml:space="preserve">May you have any comments or sugestions for improvements, please email IRC! </t>
  </si>
  <si>
    <t>Think of your colleagues, think of the future! Always precise using "comments" where the data comes from, or how you have been calculating a data, for future reference and comprehension.</t>
  </si>
  <si>
    <t>- Use "comment" to explain where the data comes from,
- the average people per HH can be either calculated (using population/household), or alternatively:
- the population in an area can be calculated using the total number of household x the average number of people per household.
--&gt; the methodology used will depend on the data available. 
- Cells J19 and J20 are the year for which you want to calculate an estimation,
- The general MUS table is only an indicative table which gives instantanely a rough estimation of water demand for all water use. 
It is based on a study which was conducted worldwide, in context which differs a lot form pastoralism context; for thoses reasons, it should not be taken as a reference, 
and shall be used as an indication only.</t>
  </si>
  <si>
    <t>Enter an average consumption per day per capita</t>
  </si>
  <si>
    <t>Tab 2  - Domestic demand</t>
  </si>
  <si>
    <t>- Nothing in particular</t>
  </si>
  <si>
    <t>Tab 3  - Livestock demand</t>
  </si>
  <si>
    <t>Tab 4  - Agriculture demand</t>
  </si>
  <si>
    <t>Tab 5  - Demand linked to seasonal migration</t>
  </si>
  <si>
    <t>Tab 6  - Wildlife demand</t>
  </si>
  <si>
    <t>- calculation of domestic water demand only.</t>
  </si>
  <si>
    <t xml:space="preserve">- 3 different methodologies to calculate livestock demand, based on 3 different sources of data for livestock:
          - Methodology 1 based on an average number of animal per household using Fewsnet estimates
          - Methodology 2 using census data - only if these data are available
          - Methodology 3 using data from field visit, based on what population can tell during FGD / KII.
--&gt; It is up to the person filling-in the table and analysing the results to estimate what is the most accurate methodology according to data available.
</t>
  </si>
  <si>
    <t>The "SUMMARY" tab presents summary tables which can be easily copy-pasted for reporting purposes.</t>
  </si>
  <si>
    <t># 1</t>
  </si>
  <si>
    <t># 2</t>
  </si>
  <si>
    <t># 3</t>
  </si>
  <si>
    <t># 4</t>
  </si>
  <si>
    <t># 5</t>
  </si>
  <si>
    <t># 6</t>
  </si>
  <si>
    <t>#7</t>
  </si>
  <si>
    <t>#8</t>
  </si>
  <si>
    <t>#9</t>
  </si>
  <si>
    <t>#10</t>
  </si>
  <si>
    <t>#11</t>
  </si>
  <si>
    <t>#12</t>
  </si>
  <si>
    <r>
      <t xml:space="preserve">Calculation of the irrigation water need
</t>
    </r>
    <r>
      <rPr>
        <i/>
        <sz val="18"/>
        <color theme="1"/>
        <rFont val="Calibri"/>
        <family val="2"/>
        <scheme val="minor"/>
      </rPr>
      <t>Small-scale farming</t>
    </r>
  </si>
  <si>
    <t xml:space="preserve">- a full methodology to calculate the water demand for agriculture activities
- the methodology is based on FAO methodology:
          - Calculation of the Crop water need
          - Calculation of the effective rainfall
          - Calculation of the Irrigation water need (= Crop water need - Effective rainfall)
</t>
  </si>
  <si>
    <t>- In methodology 3, if during a FGD for example, the population gives a total number of animals per household (without precising which type of animals), FEWNET estimates
can be used to transalte this total number of animals into number of camels + number of goats + number of donkeys etc...
- If the population gives a precise number of animals (per type of animals), the FEWNET estimates are not to be used.
- If population does not have any livestock anymore because of drought for example, it is important to make an estimation of the situation BEFIRE the drought; alternatively, FEWSNET estimates shall be used (Methodology 1).</t>
  </si>
  <si>
    <t xml:space="preserve">- since most of the communities are not yet doing much agricultural activities, an estimation is made using many assumptions:
          - crop that will be cultivated,
          - surface cultivated per household,
          - number of harvest per year,
          - number of household which will have a garden,
          - surface in drip irrigation / flood irrigation
          - % of water savinf of drip irrigation versus flood irrigation.
- This calculation is for small scale irrigation only; Irrigation scheme at large scale are beyond the scope of this MUS study.
</t>
  </si>
  <si>
    <t>- an estimation of the water demand for population and their livestock, who come in the area a few months per year.</t>
  </si>
  <si>
    <t>- These data are difficult to know with precisions; try as much as possible to double check data using different sources,
- water demand for livestock is calculated using FAO livestock unit and the average daily water consumption/head is the same as in Tab 3,
- the average daily water consumption / capita is the same as in Tab 2,
- Regarding Line 32, the goal is to identify what the peak months are (which gets a coefficient "1") and the month where there is no migration (coeeficient "0")
for the months where the population starts coming, as well as the months where the population starts leaving, coeffiecients between 0 and 1 can be used.</t>
  </si>
  <si>
    <t>- an estimation of wildlife water demand.</t>
  </si>
  <si>
    <t>- for now only one methodology is presented, which consists in calculating the wildlife water demand based on the existing livestock water demand.
- This methodology has some limitations: the population growth of wildlife might be inversely related to population and livestock growth. Therefore, this estimation is indicative only.</t>
  </si>
  <si>
    <t>- information about the population
- rough estimation of the MUS water needs using MUS estimates</t>
  </si>
  <si>
    <t>Turkana</t>
  </si>
  <si>
    <t>Kalemngorok</t>
  </si>
  <si>
    <t>Katilu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</si>
</sst>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59"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8"/>
      <color theme="1"/>
      <name val="Calibri"/>
      <family val="2"/>
      <scheme val="minor"/>
    </font>
    <font>
      <sz val="9"/>
      <color theme="1"/>
      <name val="Calibri"/>
      <family val="2"/>
      <scheme val="minor"/>
    </font>
    <font>
      <b/>
      <sz val="8"/>
      <color theme="1"/>
      <name val="Calibri"/>
      <family val="2"/>
      <scheme val="minor"/>
    </font>
    <font>
      <sz val="14"/>
      <color theme="1"/>
      <name val="Calibri"/>
      <family val="2"/>
      <scheme val="minor"/>
    </font>
    <font>
      <i/>
      <sz val="11"/>
      <color rgb="FFFF0000"/>
      <name val="Calibri"/>
      <family val="2"/>
      <scheme val="minor"/>
    </font>
    <font>
      <i/>
      <sz val="11"/>
      <name val="Calibri"/>
      <family val="2"/>
      <scheme val="minor"/>
    </font>
    <font>
      <i/>
      <sz val="9"/>
      <color theme="1"/>
      <name val="Calibri"/>
      <family val="2"/>
      <scheme val="minor"/>
    </font>
    <font>
      <b/>
      <sz val="11"/>
      <color theme="0"/>
      <name val="Calibri"/>
      <family val="2"/>
      <scheme val="minor"/>
    </font>
    <font>
      <sz val="11"/>
      <color theme="0"/>
      <name val="Calibri"/>
      <family val="2"/>
      <scheme val="minor"/>
    </font>
    <font>
      <sz val="8"/>
      <color indexed="81"/>
      <name val="Tahoma"/>
      <family val="2"/>
    </font>
    <font>
      <b/>
      <sz val="8"/>
      <color indexed="81"/>
      <name val="Tahoma"/>
      <family val="2"/>
    </font>
    <font>
      <sz val="12"/>
      <color indexed="81"/>
      <name val="Tahoma"/>
      <family val="2"/>
    </font>
    <font>
      <b/>
      <i/>
      <sz val="11"/>
      <color theme="0"/>
      <name val="Calibri"/>
      <family val="2"/>
      <scheme val="minor"/>
    </font>
    <font>
      <i/>
      <sz val="11"/>
      <color theme="0"/>
      <name val="Calibri"/>
      <family val="2"/>
      <scheme val="minor"/>
    </font>
    <font>
      <i/>
      <sz val="11"/>
      <color theme="0" tint="-0.499984740745262"/>
      <name val="Calibri"/>
      <family val="2"/>
      <scheme val="minor"/>
    </font>
    <font>
      <b/>
      <sz val="11"/>
      <name val="Calibri"/>
      <family val="2"/>
      <scheme val="minor"/>
    </font>
    <font>
      <sz val="11"/>
      <name val="Calibri"/>
      <family val="2"/>
      <scheme val="minor"/>
    </font>
    <font>
      <b/>
      <i/>
      <sz val="11"/>
      <name val="Calibri"/>
      <family val="2"/>
      <scheme val="minor"/>
    </font>
    <font>
      <sz val="9"/>
      <name val="Calibri"/>
      <family val="2"/>
      <scheme val="minor"/>
    </font>
    <font>
      <b/>
      <sz val="9"/>
      <name val="Calibri"/>
      <family val="2"/>
      <scheme val="minor"/>
    </font>
    <font>
      <sz val="11"/>
      <color indexed="81"/>
      <name val="Tahoma"/>
      <family val="2"/>
    </font>
    <font>
      <b/>
      <sz val="11"/>
      <color indexed="81"/>
      <name val="Tahoma"/>
      <family val="2"/>
    </font>
    <font>
      <i/>
      <u/>
      <sz val="11"/>
      <color theme="1"/>
      <name val="Calibri"/>
      <family val="2"/>
      <scheme val="minor"/>
    </font>
    <font>
      <sz val="10"/>
      <color theme="1"/>
      <name val="Calibri"/>
      <family val="2"/>
      <scheme val="minor"/>
    </font>
    <font>
      <sz val="24"/>
      <color theme="1"/>
      <name val="Calibri"/>
      <family val="2"/>
      <scheme val="minor"/>
    </font>
    <font>
      <i/>
      <sz val="10"/>
      <color theme="1"/>
      <name val="Calibri"/>
      <family val="2"/>
      <scheme val="minor"/>
    </font>
    <font>
      <b/>
      <sz val="12"/>
      <color rgb="FFFF0000"/>
      <name val="Calibri"/>
      <family val="2"/>
      <scheme val="minor"/>
    </font>
    <font>
      <sz val="20"/>
      <color theme="1"/>
      <name val="Calibri"/>
      <family val="2"/>
      <scheme val="minor"/>
    </font>
    <font>
      <sz val="22"/>
      <color theme="1"/>
      <name val="Calibri"/>
      <family val="2"/>
      <scheme val="minor"/>
    </font>
    <font>
      <i/>
      <sz val="9"/>
      <color theme="0" tint="-0.499984740745262"/>
      <name val="Calibri"/>
      <family val="2"/>
      <scheme val="minor"/>
    </font>
    <font>
      <sz val="11"/>
      <color theme="1"/>
      <name val="Calibri"/>
      <family val="2"/>
      <scheme val="minor"/>
    </font>
    <font>
      <sz val="11"/>
      <color theme="0" tint="-0.249977111117893"/>
      <name val="Calibri"/>
      <family val="2"/>
      <scheme val="minor"/>
    </font>
    <font>
      <sz val="12"/>
      <color theme="1"/>
      <name val="Calibri"/>
      <family val="2"/>
      <scheme val="minor"/>
    </font>
    <font>
      <sz val="18"/>
      <color theme="1"/>
      <name val="Calibri"/>
      <family val="2"/>
      <scheme val="minor"/>
    </font>
    <font>
      <i/>
      <sz val="11"/>
      <color theme="0" tint="-0.34998626667073579"/>
      <name val="Calibri"/>
      <family val="2"/>
      <scheme val="minor"/>
    </font>
    <font>
      <sz val="11"/>
      <color theme="0" tint="-0.34998626667073579"/>
      <name val="Calibri"/>
      <family val="2"/>
      <scheme val="minor"/>
    </font>
    <font>
      <b/>
      <sz val="9"/>
      <color theme="1"/>
      <name val="Calibri"/>
      <family val="2"/>
      <scheme val="minor"/>
    </font>
    <font>
      <b/>
      <sz val="10"/>
      <color theme="1"/>
      <name val="Calibri"/>
      <family val="2"/>
      <scheme val="minor"/>
    </font>
    <font>
      <i/>
      <sz val="11"/>
      <color theme="5"/>
      <name val="Calibri"/>
      <family val="2"/>
      <scheme val="minor"/>
    </font>
    <font>
      <i/>
      <sz val="12"/>
      <color theme="5"/>
      <name val="Calibri"/>
      <family val="2"/>
      <scheme val="minor"/>
    </font>
    <font>
      <u/>
      <sz val="11"/>
      <color theme="1"/>
      <name val="Calibri"/>
      <family val="2"/>
      <scheme val="minor"/>
    </font>
    <font>
      <i/>
      <sz val="14"/>
      <color theme="1"/>
      <name val="Calibri"/>
      <family val="2"/>
      <scheme val="minor"/>
    </font>
    <font>
      <sz val="11"/>
      <color theme="3"/>
      <name val="Calibri"/>
      <family val="2"/>
      <scheme val="minor"/>
    </font>
    <font>
      <sz val="20"/>
      <color theme="3"/>
      <name val="Calibri"/>
      <family val="2"/>
      <scheme val="minor"/>
    </font>
    <font>
      <i/>
      <sz val="11"/>
      <color theme="3"/>
      <name val="Calibri"/>
      <family val="2"/>
      <scheme val="minor"/>
    </font>
    <font>
      <sz val="14"/>
      <color theme="3"/>
      <name val="Calibri"/>
      <family val="2"/>
      <scheme val="minor"/>
    </font>
    <font>
      <i/>
      <sz val="14"/>
      <color theme="3"/>
      <name val="Calibri"/>
      <family val="2"/>
      <scheme val="minor"/>
    </font>
    <font>
      <b/>
      <sz val="14"/>
      <color theme="3"/>
      <name val="Calibri"/>
      <family val="2"/>
      <scheme val="minor"/>
    </font>
    <font>
      <b/>
      <i/>
      <sz val="14"/>
      <color theme="3"/>
      <name val="Calibri"/>
      <family val="2"/>
      <scheme val="minor"/>
    </font>
    <font>
      <u/>
      <sz val="14"/>
      <color theme="3"/>
      <name val="Calibri"/>
      <family val="2"/>
      <scheme val="minor"/>
    </font>
    <font>
      <sz val="8"/>
      <color theme="6"/>
      <name val="Calibri"/>
      <family val="2"/>
      <scheme val="minor"/>
    </font>
    <font>
      <b/>
      <u/>
      <sz val="14"/>
      <color theme="3"/>
      <name val="Calibri"/>
      <family val="2"/>
      <scheme val="minor"/>
    </font>
    <font>
      <i/>
      <sz val="18"/>
      <color theme="1"/>
      <name val="Calibri"/>
      <family val="2"/>
      <scheme val="minor"/>
    </font>
    <font>
      <b/>
      <sz val="10"/>
      <color indexed="81"/>
      <name val="Tahoma"/>
      <family val="2"/>
    </font>
    <font>
      <sz val="10"/>
      <color indexed="81"/>
      <name val="Tahoma"/>
      <family val="2"/>
    </font>
  </fonts>
  <fills count="2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4"/>
        <bgColor indexed="64"/>
      </patternFill>
    </fill>
    <fill>
      <patternFill patternType="solid">
        <fgColor theme="5" tint="0.39994506668294322"/>
        <bgColor indexed="64"/>
      </patternFill>
    </fill>
    <fill>
      <patternFill patternType="solid">
        <fgColor theme="5" tint="0.59999389629810485"/>
        <bgColor indexed="64"/>
      </patternFill>
    </fill>
    <fill>
      <patternFill patternType="solid">
        <fgColor theme="1"/>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FFFF66"/>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indexed="64"/>
      </left>
      <right/>
      <top style="thin">
        <color theme="0" tint="-0.14996795556505021"/>
      </top>
      <bottom/>
      <diagonal/>
    </border>
    <border>
      <left/>
      <right style="thin">
        <color theme="0" tint="-0.14996795556505021"/>
      </right>
      <top style="thin">
        <color theme="0" tint="-0.14996795556505021"/>
      </top>
      <bottom/>
      <diagonal/>
    </border>
    <border>
      <left/>
      <right style="thin">
        <color theme="0" tint="-0.14996795556505021"/>
      </right>
      <top/>
      <bottom/>
      <diagonal/>
    </border>
    <border>
      <left style="thin">
        <color indexed="64"/>
      </left>
      <right/>
      <top/>
      <bottom style="thin">
        <color theme="0" tint="-0.14996795556505021"/>
      </bottom>
      <diagonal/>
    </border>
    <border>
      <left/>
      <right style="thin">
        <color theme="0" tint="-0.14996795556505021"/>
      </right>
      <top/>
      <bottom style="thin">
        <color theme="0" tint="-0.14996795556505021"/>
      </bottom>
      <diagonal/>
    </border>
    <border>
      <left/>
      <right style="thin">
        <color indexed="64"/>
      </right>
      <top style="thin">
        <color theme="0" tint="-0.14996795556505021"/>
      </top>
      <bottom/>
      <diagonal/>
    </border>
    <border>
      <left/>
      <right style="thin">
        <color indexed="64"/>
      </right>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2">
    <xf numFmtId="0" fontId="0" fillId="0" borderId="0"/>
    <xf numFmtId="9" fontId="34" fillId="0" borderId="0" applyFont="0" applyFill="0" applyBorder="0" applyAlignment="0" applyProtection="0"/>
  </cellStyleXfs>
  <cellXfs count="1148">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Border="1"/>
    <xf numFmtId="0" fontId="0" fillId="0" borderId="8" xfId="0" applyBorder="1"/>
    <xf numFmtId="0" fontId="0" fillId="0" borderId="12" xfId="0" applyBorder="1"/>
    <xf numFmtId="0" fontId="0" fillId="0" borderId="0" xfId="0" applyAlignment="1">
      <alignment horizontal="right"/>
    </xf>
    <xf numFmtId="0" fontId="0" fillId="0" borderId="0" xfId="0" applyFill="1"/>
    <xf numFmtId="0" fontId="0" fillId="10" borderId="0" xfId="0" applyFill="1" applyAlignment="1" applyProtection="1">
      <alignment horizontal="center"/>
    </xf>
    <xf numFmtId="0" fontId="0" fillId="0" borderId="7" xfId="0" applyFill="1" applyBorder="1" applyAlignment="1" applyProtection="1">
      <alignment horizontal="center"/>
    </xf>
    <xf numFmtId="0" fontId="0" fillId="0" borderId="8" xfId="0" applyFill="1" applyBorder="1" applyAlignment="1" applyProtection="1">
      <alignment horizontal="center"/>
    </xf>
    <xf numFmtId="0" fontId="2" fillId="0" borderId="8" xfId="0" applyFont="1" applyFill="1" applyBorder="1" applyAlignment="1" applyProtection="1">
      <alignment horizontal="center"/>
    </xf>
    <xf numFmtId="0" fontId="0" fillId="0" borderId="9" xfId="0" applyFill="1" applyBorder="1" applyAlignment="1" applyProtection="1">
      <alignment horizontal="center"/>
    </xf>
    <xf numFmtId="0" fontId="0" fillId="0" borderId="6" xfId="0" applyFill="1" applyBorder="1" applyAlignment="1" applyProtection="1">
      <alignment horizontal="center"/>
    </xf>
    <xf numFmtId="0" fontId="0" fillId="0" borderId="0" xfId="0" applyFill="1" applyBorder="1" applyAlignment="1" applyProtection="1">
      <alignment horizontal="center"/>
    </xf>
    <xf numFmtId="0" fontId="2" fillId="0" borderId="0" xfId="0" applyFont="1" applyFill="1" applyBorder="1" applyAlignment="1" applyProtection="1">
      <alignment horizontal="center"/>
    </xf>
    <xf numFmtId="2" fontId="0" fillId="0" borderId="15" xfId="0" applyNumberFormat="1" applyFill="1" applyBorder="1" applyAlignment="1" applyProtection="1">
      <alignment horizontal="center" wrapText="1"/>
    </xf>
    <xf numFmtId="2" fontId="0" fillId="10" borderId="0" xfId="0" applyNumberFormat="1" applyFill="1" applyBorder="1" applyAlignment="1" applyProtection="1">
      <alignment horizontal="center" wrapText="1"/>
    </xf>
    <xf numFmtId="0" fontId="0" fillId="0" borderId="15" xfId="0" applyFill="1" applyBorder="1" applyAlignment="1" applyProtection="1">
      <alignment horizontal="center"/>
    </xf>
    <xf numFmtId="0" fontId="1" fillId="0" borderId="0" xfId="0" applyFont="1" applyFill="1" applyBorder="1" applyAlignment="1" applyProtection="1">
      <alignment horizontal="center"/>
    </xf>
    <xf numFmtId="0" fontId="6" fillId="0" borderId="0" xfId="0" applyFont="1" applyFill="1" applyBorder="1" applyAlignment="1" applyProtection="1">
      <alignment horizontal="center"/>
    </xf>
    <xf numFmtId="3" fontId="0" fillId="0" borderId="8" xfId="0" applyNumberFormat="1" applyFill="1" applyBorder="1" applyAlignment="1" applyProtection="1">
      <alignment horizontal="center"/>
    </xf>
    <xf numFmtId="3" fontId="4" fillId="0" borderId="8" xfId="0" applyNumberFormat="1" applyFont="1" applyFill="1" applyBorder="1" applyAlignment="1" applyProtection="1">
      <alignment horizontal="center"/>
    </xf>
    <xf numFmtId="0" fontId="0" fillId="0" borderId="8" xfId="0" applyFont="1" applyFill="1" applyBorder="1" applyAlignment="1" applyProtection="1">
      <alignment horizontal="center"/>
    </xf>
    <xf numFmtId="3" fontId="5" fillId="0" borderId="7" xfId="0" applyNumberFormat="1" applyFont="1" applyFill="1" applyBorder="1" applyAlignment="1" applyProtection="1">
      <alignment horizontal="right" wrapText="1"/>
    </xf>
    <xf numFmtId="3" fontId="5" fillId="0" borderId="9" xfId="0" applyNumberFormat="1" applyFont="1" applyFill="1" applyBorder="1" applyAlignment="1" applyProtection="1">
      <alignment horizontal="left" wrapText="1"/>
    </xf>
    <xf numFmtId="0" fontId="0" fillId="0" borderId="10" xfId="0" applyFill="1" applyBorder="1" applyAlignment="1" applyProtection="1">
      <alignment horizontal="center"/>
    </xf>
    <xf numFmtId="3" fontId="0" fillId="0" borderId="12" xfId="0" applyNumberFormat="1" applyFill="1" applyBorder="1" applyAlignment="1" applyProtection="1">
      <alignment horizontal="center"/>
    </xf>
    <xf numFmtId="3" fontId="4" fillId="0" borderId="12" xfId="0" applyNumberFormat="1" applyFont="1" applyFill="1" applyBorder="1" applyAlignment="1" applyProtection="1">
      <alignment horizontal="center"/>
    </xf>
    <xf numFmtId="0" fontId="0" fillId="0" borderId="12" xfId="0" applyFont="1" applyFill="1" applyBorder="1" applyAlignment="1" applyProtection="1">
      <alignment horizontal="center"/>
    </xf>
    <xf numFmtId="3" fontId="0" fillId="0" borderId="10" xfId="0" applyNumberFormat="1" applyFill="1" applyBorder="1" applyAlignment="1" applyProtection="1">
      <alignment horizontal="right" wrapText="1"/>
    </xf>
    <xf numFmtId="3" fontId="0" fillId="0" borderId="11" xfId="0" applyNumberFormat="1" applyFill="1" applyBorder="1" applyAlignment="1" applyProtection="1">
      <alignment horizontal="left" wrapText="1"/>
    </xf>
    <xf numFmtId="0" fontId="0" fillId="0" borderId="12" xfId="0" applyFill="1" applyBorder="1" applyAlignment="1" applyProtection="1">
      <alignment horizontal="center"/>
    </xf>
    <xf numFmtId="0" fontId="4" fillId="0" borderId="12" xfId="0" applyFont="1" applyFill="1" applyBorder="1" applyAlignment="1" applyProtection="1">
      <alignment horizontal="center"/>
    </xf>
    <xf numFmtId="3" fontId="0" fillId="0" borderId="10" xfId="0" applyNumberFormat="1" applyFill="1" applyBorder="1" applyAlignment="1" applyProtection="1">
      <alignment horizontal="right"/>
    </xf>
    <xf numFmtId="0" fontId="2" fillId="0" borderId="12" xfId="0" applyFont="1" applyFill="1" applyBorder="1" applyAlignment="1" applyProtection="1">
      <alignment horizontal="center"/>
    </xf>
    <xf numFmtId="0" fontId="0" fillId="0" borderId="0" xfId="0" applyFill="1" applyBorder="1" applyAlignment="1" applyProtection="1">
      <alignment horizontal="left"/>
    </xf>
    <xf numFmtId="0" fontId="0" fillId="0" borderId="11" xfId="0" applyFill="1" applyBorder="1" applyAlignment="1" applyProtection="1">
      <alignment horizontal="center"/>
    </xf>
    <xf numFmtId="0" fontId="1" fillId="10" borderId="0" xfId="0" applyFont="1" applyFill="1" applyAlignment="1" applyProtection="1">
      <alignment horizontal="left"/>
    </xf>
    <xf numFmtId="0" fontId="0" fillId="10" borderId="6" xfId="0" applyFill="1" applyBorder="1" applyAlignment="1" applyProtection="1">
      <alignment horizontal="center"/>
    </xf>
    <xf numFmtId="0" fontId="0" fillId="10" borderId="0" xfId="0" applyFill="1" applyBorder="1" applyAlignment="1" applyProtection="1">
      <alignment horizontal="center"/>
    </xf>
    <xf numFmtId="0" fontId="0" fillId="0" borderId="0" xfId="0" applyFont="1" applyFill="1" applyBorder="1" applyAlignment="1" applyProtection="1">
      <alignment horizontal="center"/>
    </xf>
    <xf numFmtId="0" fontId="12" fillId="10" borderId="0" xfId="0" applyFont="1" applyFill="1" applyBorder="1" applyAlignment="1" applyProtection="1">
      <alignment horizontal="center"/>
    </xf>
    <xf numFmtId="0" fontId="11" fillId="10" borderId="0" xfId="0" applyFont="1" applyFill="1" applyBorder="1" applyAlignment="1" applyProtection="1">
      <alignment horizontal="center"/>
    </xf>
    <xf numFmtId="1" fontId="0" fillId="0" borderId="0" xfId="0" applyNumberFormat="1" applyFont="1" applyFill="1" applyBorder="1" applyAlignment="1" applyProtection="1">
      <alignment horizontal="center"/>
    </xf>
    <xf numFmtId="0" fontId="0" fillId="10" borderId="6" xfId="0" applyFont="1" applyFill="1" applyBorder="1" applyAlignment="1" applyProtection="1">
      <alignment horizontal="center"/>
    </xf>
    <xf numFmtId="164" fontId="16" fillId="10" borderId="0" xfId="0" applyNumberFormat="1" applyFont="1" applyFill="1" applyBorder="1" applyAlignment="1" applyProtection="1">
      <alignment horizontal="center"/>
    </xf>
    <xf numFmtId="0" fontId="0" fillId="0" borderId="0" xfId="0" applyFill="1" applyAlignment="1" applyProtection="1">
      <alignment horizontal="center"/>
    </xf>
    <xf numFmtId="2" fontId="17" fillId="10" borderId="0" xfId="0" quotePrefix="1" applyNumberFormat="1" applyFont="1" applyFill="1" applyBorder="1" applyAlignment="1" applyProtection="1">
      <alignment horizontal="center"/>
    </xf>
    <xf numFmtId="3" fontId="5" fillId="0" borderId="7" xfId="0" applyNumberFormat="1" applyFont="1" applyFill="1" applyBorder="1" applyAlignment="1" applyProtection="1">
      <alignment horizontal="right" wrapText="1"/>
    </xf>
    <xf numFmtId="3" fontId="5" fillId="10" borderId="0" xfId="0" applyNumberFormat="1" applyFont="1" applyFill="1" applyBorder="1" applyAlignment="1" applyProtection="1">
      <alignment horizontal="center" wrapText="1"/>
    </xf>
    <xf numFmtId="2" fontId="17" fillId="10" borderId="0" xfId="0" applyNumberFormat="1" applyFont="1" applyFill="1" applyBorder="1" applyAlignment="1" applyProtection="1">
      <alignment horizontal="center"/>
    </xf>
    <xf numFmtId="3" fontId="0" fillId="0" borderId="0" xfId="0" applyNumberFormat="1" applyFill="1" applyBorder="1" applyAlignment="1" applyProtection="1">
      <alignment horizontal="left" wrapText="1"/>
    </xf>
    <xf numFmtId="3" fontId="0" fillId="0" borderId="0" xfId="0" applyNumberFormat="1" applyFill="1" applyBorder="1" applyAlignment="1" applyProtection="1">
      <alignment horizontal="center" wrapText="1"/>
    </xf>
    <xf numFmtId="3" fontId="0" fillId="10" borderId="0" xfId="0" applyNumberFormat="1" applyFill="1" applyBorder="1" applyAlignment="1" applyProtection="1">
      <alignment horizontal="center" wrapText="1"/>
    </xf>
    <xf numFmtId="0" fontId="0" fillId="0" borderId="0" xfId="0" applyFill="1" applyBorder="1" applyAlignment="1" applyProtection="1">
      <alignment horizontal="right" wrapText="1"/>
    </xf>
    <xf numFmtId="3" fontId="0" fillId="0" borderId="0" xfId="0" applyNumberFormat="1" applyFill="1" applyBorder="1" applyAlignment="1" applyProtection="1">
      <alignment horizontal="center"/>
    </xf>
    <xf numFmtId="3" fontId="0" fillId="10" borderId="0" xfId="0" applyNumberFormat="1" applyFill="1" applyBorder="1" applyAlignment="1" applyProtection="1">
      <alignment horizontal="center"/>
    </xf>
    <xf numFmtId="0" fontId="0" fillId="0" borderId="8" xfId="0" applyFill="1" applyBorder="1" applyAlignment="1" applyProtection="1">
      <alignment horizontal="right" wrapText="1"/>
    </xf>
    <xf numFmtId="3" fontId="0" fillId="0" borderId="10" xfId="0" applyNumberFormat="1" applyFill="1" applyBorder="1" applyAlignment="1" applyProtection="1">
      <alignment horizontal="right" wrapText="1"/>
    </xf>
    <xf numFmtId="0" fontId="26" fillId="0" borderId="0" xfId="0" applyFont="1" applyFill="1" applyBorder="1" applyAlignment="1" applyProtection="1">
      <alignment horizontal="left"/>
    </xf>
    <xf numFmtId="0" fontId="26" fillId="0" borderId="0" xfId="0" applyFont="1" applyFill="1" applyBorder="1" applyAlignment="1" applyProtection="1">
      <alignment horizontal="center"/>
    </xf>
    <xf numFmtId="0" fontId="0" fillId="0" borderId="3" xfId="0" applyFill="1" applyBorder="1" applyAlignment="1" applyProtection="1">
      <alignment horizontal="center"/>
    </xf>
    <xf numFmtId="0" fontId="0" fillId="0" borderId="1" xfId="0" applyFill="1" applyBorder="1" applyAlignment="1" applyProtection="1">
      <alignment horizontal="center"/>
    </xf>
    <xf numFmtId="0" fontId="4" fillId="0" borderId="0" xfId="0" applyFont="1" applyFill="1" applyBorder="1" applyAlignment="1" applyProtection="1">
      <alignment horizontal="center"/>
    </xf>
    <xf numFmtId="3" fontId="0" fillId="0" borderId="15" xfId="0" applyNumberFormat="1" applyFill="1" applyBorder="1" applyAlignment="1" applyProtection="1">
      <alignment horizontal="center" wrapText="1"/>
    </xf>
    <xf numFmtId="0" fontId="0" fillId="10" borderId="0" xfId="0" applyFill="1" applyAlignment="1" applyProtection="1">
      <alignment horizontal="right"/>
    </xf>
    <xf numFmtId="0" fontId="0" fillId="10" borderId="0" xfId="0" applyFill="1" applyAlignment="1" applyProtection="1">
      <alignment horizontal="left"/>
    </xf>
    <xf numFmtId="0" fontId="2" fillId="10" borderId="0" xfId="0" applyFont="1" applyFill="1" applyBorder="1" applyAlignment="1" applyProtection="1">
      <alignment horizontal="center"/>
    </xf>
    <xf numFmtId="0" fontId="2" fillId="10" borderId="0" xfId="0" applyFont="1" applyFill="1" applyAlignment="1" applyProtection="1">
      <alignment horizontal="center"/>
    </xf>
    <xf numFmtId="0" fontId="26" fillId="10" borderId="0" xfId="0" applyFont="1" applyFill="1" applyAlignment="1" applyProtection="1">
      <alignment horizontal="center"/>
    </xf>
    <xf numFmtId="0" fontId="2" fillId="0" borderId="6" xfId="0" applyFont="1" applyFill="1" applyBorder="1" applyAlignment="1" applyProtection="1">
      <alignment horizontal="center"/>
    </xf>
    <xf numFmtId="0" fontId="0" fillId="0" borderId="15" xfId="0" applyFill="1" applyBorder="1" applyAlignment="1" applyProtection="1">
      <alignment horizontal="center" wrapText="1"/>
    </xf>
    <xf numFmtId="0" fontId="0" fillId="10" borderId="0" xfId="0" applyFill="1" applyBorder="1" applyAlignment="1" applyProtection="1">
      <alignment horizontal="center" wrapText="1"/>
    </xf>
    <xf numFmtId="0" fontId="1" fillId="0" borderId="0" xfId="0" applyFont="1" applyFill="1" applyBorder="1" applyAlignment="1" applyProtection="1">
      <alignment horizontal="center" wrapText="1"/>
    </xf>
    <xf numFmtId="0" fontId="1" fillId="10" borderId="0" xfId="0" applyFont="1" applyFill="1" applyBorder="1" applyAlignment="1" applyProtection="1">
      <alignment horizontal="center" wrapText="1"/>
    </xf>
    <xf numFmtId="3" fontId="0" fillId="0" borderId="1" xfId="0" applyNumberFormat="1" applyFill="1" applyBorder="1" applyAlignment="1" applyProtection="1">
      <alignment horizontal="center" wrapText="1"/>
    </xf>
    <xf numFmtId="3" fontId="0" fillId="0" borderId="3" xfId="0" applyNumberFormat="1" applyFill="1" applyBorder="1" applyAlignment="1" applyProtection="1">
      <alignment horizontal="center" wrapText="1"/>
    </xf>
    <xf numFmtId="0" fontId="0" fillId="0" borderId="0" xfId="0" applyFill="1" applyBorder="1" applyAlignment="1" applyProtection="1">
      <alignment horizontal="center" wrapText="1"/>
    </xf>
    <xf numFmtId="3" fontId="0" fillId="0" borderId="0" xfId="0" applyNumberFormat="1" applyFont="1" applyFill="1" applyBorder="1" applyAlignment="1" applyProtection="1">
      <alignment horizontal="center"/>
    </xf>
    <xf numFmtId="3" fontId="0" fillId="10" borderId="0" xfId="0" applyNumberFormat="1" applyFont="1" applyFill="1" applyBorder="1" applyAlignment="1" applyProtection="1">
      <alignment horizontal="center"/>
    </xf>
    <xf numFmtId="0" fontId="29" fillId="0" borderId="3" xfId="0" applyFont="1" applyFill="1" applyBorder="1" applyAlignment="1" applyProtection="1">
      <alignment horizontal="right" wrapText="1"/>
    </xf>
    <xf numFmtId="0" fontId="29" fillId="0" borderId="4" xfId="0" applyFont="1" applyFill="1" applyBorder="1" applyAlignment="1" applyProtection="1">
      <alignment horizontal="left"/>
    </xf>
    <xf numFmtId="3" fontId="0" fillId="0" borderId="12" xfId="0" applyNumberFormat="1" applyFill="1" applyBorder="1" applyAlignment="1" applyProtection="1">
      <alignment horizontal="right" wrapText="1"/>
    </xf>
    <xf numFmtId="0" fontId="0" fillId="0" borderId="12" xfId="0" applyFill="1" applyBorder="1" applyAlignment="1" applyProtection="1">
      <alignment horizontal="right" wrapText="1"/>
    </xf>
    <xf numFmtId="3" fontId="0" fillId="0" borderId="12" xfId="0" applyNumberFormat="1" applyFill="1" applyBorder="1" applyAlignment="1" applyProtection="1">
      <alignment horizontal="left" wrapText="1"/>
    </xf>
    <xf numFmtId="0" fontId="0" fillId="0" borderId="12" xfId="0" applyFill="1" applyBorder="1" applyAlignment="1" applyProtection="1">
      <alignment horizontal="left"/>
    </xf>
    <xf numFmtId="0" fontId="0" fillId="0" borderId="12" xfId="0" applyFill="1" applyBorder="1" applyAlignment="1" applyProtection="1">
      <alignment horizontal="center" wrapText="1"/>
    </xf>
    <xf numFmtId="3" fontId="0" fillId="10" borderId="0" xfId="0" applyNumberFormat="1" applyFill="1" applyBorder="1" applyAlignment="1" applyProtection="1">
      <alignment horizontal="right" wrapText="1"/>
    </xf>
    <xf numFmtId="0" fontId="0" fillId="10" borderId="0" xfId="0" applyFill="1" applyBorder="1" applyAlignment="1" applyProtection="1">
      <alignment horizontal="right" wrapText="1"/>
    </xf>
    <xf numFmtId="3" fontId="0" fillId="10" borderId="0" xfId="0" applyNumberFormat="1" applyFill="1" applyBorder="1" applyAlignment="1" applyProtection="1">
      <alignment horizontal="left" wrapText="1"/>
    </xf>
    <xf numFmtId="0" fontId="0" fillId="10" borderId="0" xfId="0" applyFill="1" applyBorder="1" applyAlignment="1" applyProtection="1">
      <alignment horizontal="left"/>
    </xf>
    <xf numFmtId="0" fontId="29" fillId="0" borderId="4" xfId="0" applyFont="1" applyFill="1" applyBorder="1" applyAlignment="1" applyProtection="1">
      <alignment horizontal="left" wrapText="1"/>
    </xf>
    <xf numFmtId="0" fontId="0" fillId="5" borderId="7" xfId="0" applyFill="1" applyBorder="1" applyAlignment="1" applyProtection="1">
      <alignment horizontal="center"/>
    </xf>
    <xf numFmtId="0" fontId="2" fillId="5" borderId="8" xfId="0" applyFont="1" applyFill="1" applyBorder="1" applyAlignment="1" applyProtection="1">
      <alignment horizontal="center"/>
    </xf>
    <xf numFmtId="0" fontId="0" fillId="5" borderId="8" xfId="0" applyFill="1" applyBorder="1" applyAlignment="1" applyProtection="1">
      <alignment horizontal="center"/>
    </xf>
    <xf numFmtId="0" fontId="0" fillId="5" borderId="9" xfId="0" applyFill="1" applyBorder="1" applyAlignment="1" applyProtection="1">
      <alignment horizontal="center"/>
    </xf>
    <xf numFmtId="0" fontId="0" fillId="5" borderId="6" xfId="0" applyFill="1" applyBorder="1" applyAlignment="1" applyProtection="1">
      <alignment horizontal="center"/>
    </xf>
    <xf numFmtId="0" fontId="9" fillId="5" borderId="0" xfId="0" applyFont="1" applyFill="1" applyBorder="1" applyAlignment="1" applyProtection="1">
      <alignment horizontal="center"/>
    </xf>
    <xf numFmtId="0" fontId="20" fillId="5" borderId="0" xfId="0" applyFont="1" applyFill="1" applyBorder="1" applyAlignment="1" applyProtection="1">
      <alignment horizontal="center"/>
    </xf>
    <xf numFmtId="0" fontId="0" fillId="5" borderId="15" xfId="0" applyFill="1" applyBorder="1" applyAlignment="1" applyProtection="1">
      <alignment horizontal="center"/>
    </xf>
    <xf numFmtId="0" fontId="1" fillId="5" borderId="6" xfId="0" applyFont="1" applyFill="1" applyBorder="1" applyAlignment="1" applyProtection="1">
      <alignment horizontal="center"/>
    </xf>
    <xf numFmtId="0" fontId="19" fillId="5" borderId="0" xfId="0" applyFont="1" applyFill="1" applyBorder="1" applyAlignment="1" applyProtection="1">
      <alignment horizontal="center"/>
    </xf>
    <xf numFmtId="0" fontId="20" fillId="5" borderId="7" xfId="0" applyFont="1" applyFill="1" applyBorder="1" applyAlignment="1" applyProtection="1">
      <alignment horizontal="center"/>
    </xf>
    <xf numFmtId="0" fontId="20" fillId="5" borderId="9" xfId="0" applyFont="1" applyFill="1" applyBorder="1" applyAlignment="1" applyProtection="1">
      <alignment horizontal="center"/>
    </xf>
    <xf numFmtId="3" fontId="22" fillId="5" borderId="9" xfId="0" applyNumberFormat="1" applyFont="1" applyFill="1" applyBorder="1" applyAlignment="1" applyProtection="1">
      <alignment horizontal="center" wrapText="1"/>
    </xf>
    <xf numFmtId="3" fontId="23" fillId="5" borderId="9" xfId="0" applyNumberFormat="1" applyFont="1" applyFill="1" applyBorder="1" applyAlignment="1" applyProtection="1">
      <alignment horizontal="center" wrapText="1"/>
    </xf>
    <xf numFmtId="0" fontId="20" fillId="5" borderId="10" xfId="0" applyFont="1" applyFill="1" applyBorder="1" applyAlignment="1" applyProtection="1">
      <alignment horizontal="center"/>
    </xf>
    <xf numFmtId="0" fontId="20" fillId="5" borderId="11" xfId="0" applyFont="1" applyFill="1" applyBorder="1" applyAlignment="1" applyProtection="1">
      <alignment horizontal="center"/>
    </xf>
    <xf numFmtId="3" fontId="20" fillId="5" borderId="10" xfId="0" applyNumberFormat="1" applyFont="1" applyFill="1" applyBorder="1" applyAlignment="1" applyProtection="1">
      <alignment horizontal="center" wrapText="1"/>
    </xf>
    <xf numFmtId="3" fontId="20" fillId="5" borderId="11" xfId="0" applyNumberFormat="1" applyFont="1" applyFill="1" applyBorder="1" applyAlignment="1" applyProtection="1">
      <alignment horizontal="center" wrapText="1"/>
    </xf>
    <xf numFmtId="3" fontId="19" fillId="5" borderId="11" xfId="0" applyNumberFormat="1" applyFont="1" applyFill="1" applyBorder="1" applyAlignment="1" applyProtection="1">
      <alignment horizontal="center" wrapText="1"/>
    </xf>
    <xf numFmtId="3" fontId="0" fillId="5" borderId="6" xfId="0" applyNumberFormat="1" applyFill="1" applyBorder="1" applyAlignment="1" applyProtection="1">
      <alignment horizontal="center"/>
    </xf>
    <xf numFmtId="0" fontId="9" fillId="5" borderId="10" xfId="0" applyFont="1" applyFill="1" applyBorder="1" applyAlignment="1" applyProtection="1">
      <alignment horizontal="center"/>
    </xf>
    <xf numFmtId="0" fontId="0" fillId="5" borderId="10" xfId="0" applyFill="1" applyBorder="1" applyAlignment="1" applyProtection="1">
      <alignment horizontal="center"/>
    </xf>
    <xf numFmtId="0" fontId="2" fillId="5" borderId="12" xfId="0" applyFont="1" applyFill="1" applyBorder="1" applyAlignment="1" applyProtection="1">
      <alignment horizontal="center"/>
    </xf>
    <xf numFmtId="0" fontId="0" fillId="5" borderId="12" xfId="0" applyFill="1" applyBorder="1" applyAlignment="1" applyProtection="1">
      <alignment horizontal="center"/>
    </xf>
    <xf numFmtId="0" fontId="0" fillId="5" borderId="11" xfId="0" applyFill="1" applyBorder="1" applyAlignment="1" applyProtection="1">
      <alignment horizontal="center"/>
    </xf>
    <xf numFmtId="0" fontId="0" fillId="0" borderId="0" xfId="0" applyAlignment="1" applyProtection="1">
      <alignment horizontal="center"/>
      <protection locked="0"/>
    </xf>
    <xf numFmtId="14" fontId="8" fillId="0" borderId="0" xfId="0" applyNumberFormat="1" applyFont="1" applyAlignment="1" applyProtection="1">
      <alignment horizontal="center"/>
      <protection locked="0"/>
    </xf>
    <xf numFmtId="0" fontId="0" fillId="4" borderId="5" xfId="0" applyFill="1" applyBorder="1" applyAlignment="1" applyProtection="1">
      <alignment horizontal="center"/>
      <protection locked="0"/>
    </xf>
    <xf numFmtId="0" fontId="0" fillId="0" borderId="0" xfId="0" applyBorder="1" applyAlignment="1" applyProtection="1">
      <alignment horizontal="center" wrapText="1"/>
      <protection locked="0"/>
    </xf>
    <xf numFmtId="0" fontId="1" fillId="0" borderId="0" xfId="0" applyFont="1" applyAlignment="1" applyProtection="1">
      <alignment horizontal="center"/>
      <protection locked="0"/>
    </xf>
    <xf numFmtId="0" fontId="3" fillId="0" borderId="0" xfId="0" applyFont="1" applyAlignment="1" applyProtection="1">
      <alignment horizontal="center"/>
      <protection locked="0"/>
    </xf>
    <xf numFmtId="0" fontId="2" fillId="0" borderId="0" xfId="0" applyFont="1" applyAlignment="1" applyProtection="1">
      <alignment horizontal="center"/>
      <protection locked="0"/>
    </xf>
    <xf numFmtId="0" fontId="0" fillId="0" borderId="0" xfId="0" applyBorder="1" applyAlignment="1" applyProtection="1">
      <alignment horizontal="center"/>
      <protection locked="0"/>
    </xf>
    <xf numFmtId="0" fontId="0" fillId="0" borderId="0" xfId="0" applyFill="1" applyBorder="1" applyAlignment="1" applyProtection="1">
      <alignment horizontal="center" wrapText="1"/>
      <protection locked="0"/>
    </xf>
    <xf numFmtId="3" fontId="0" fillId="0" borderId="0" xfId="0" applyNumberFormat="1" applyFill="1" applyBorder="1" applyAlignment="1" applyProtection="1">
      <alignment horizontal="center" wrapText="1"/>
      <protection locked="0"/>
    </xf>
    <xf numFmtId="3" fontId="0" fillId="0" borderId="0" xfId="0" applyNumberFormat="1" applyBorder="1" applyAlignment="1" applyProtection="1">
      <alignment horizontal="center" wrapText="1"/>
      <protection locked="0"/>
    </xf>
    <xf numFmtId="0" fontId="21" fillId="4" borderId="4" xfId="0" applyFont="1" applyFill="1"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5" fillId="0" borderId="10" xfId="0" applyFont="1" applyBorder="1" applyAlignment="1" applyProtection="1">
      <alignment horizontal="center" wrapText="1"/>
      <protection locked="0"/>
    </xf>
    <xf numFmtId="0" fontId="0" fillId="0" borderId="11" xfId="0" applyFont="1" applyFill="1" applyBorder="1" applyAlignment="1" applyProtection="1">
      <alignment horizontal="center" wrapText="1"/>
      <protection locked="0"/>
    </xf>
    <xf numFmtId="0" fontId="0" fillId="4" borderId="0" xfId="0" applyFill="1" applyAlignment="1" applyProtection="1">
      <alignment horizontal="center"/>
      <protection locked="0"/>
    </xf>
    <xf numFmtId="3" fontId="0" fillId="4" borderId="1" xfId="0" applyNumberFormat="1" applyFill="1" applyBorder="1" applyAlignment="1" applyProtection="1">
      <alignment horizontal="center" wrapText="1"/>
      <protection locked="0"/>
    </xf>
    <xf numFmtId="1" fontId="2" fillId="4" borderId="1" xfId="0" applyNumberFormat="1"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2" fontId="2" fillId="0" borderId="6" xfId="0" quotePrefix="1" applyNumberFormat="1" applyFont="1" applyBorder="1" applyAlignment="1" applyProtection="1">
      <alignment horizontal="right"/>
      <protection locked="0"/>
    </xf>
    <xf numFmtId="2" fontId="2" fillId="0" borderId="12" xfId="0" applyNumberFormat="1" applyFont="1" applyBorder="1" applyAlignment="1" applyProtection="1">
      <alignment horizontal="right"/>
      <protection locked="0"/>
    </xf>
    <xf numFmtId="0" fontId="0" fillId="4" borderId="1" xfId="0"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2" fontId="2" fillId="0" borderId="7" xfId="0" applyNumberFormat="1" applyFont="1" applyBorder="1" applyAlignment="1" applyProtection="1">
      <alignment horizontal="right"/>
      <protection locked="0"/>
    </xf>
    <xf numFmtId="2" fontId="2" fillId="0" borderId="3" xfId="0" applyNumberFormat="1" applyFont="1" applyBorder="1" applyAlignment="1" applyProtection="1">
      <alignment horizontal="right"/>
      <protection locked="0"/>
    </xf>
    <xf numFmtId="2" fontId="2" fillId="0" borderId="4" xfId="0" applyNumberFormat="1" applyFont="1" applyBorder="1" applyAlignment="1" applyProtection="1">
      <alignment horizontal="right"/>
      <protection locked="0"/>
    </xf>
    <xf numFmtId="0" fontId="0" fillId="0" borderId="0" xfId="0" applyFill="1" applyBorder="1" applyAlignment="1" applyProtection="1">
      <alignment horizontal="center"/>
      <protection locked="0"/>
    </xf>
    <xf numFmtId="2" fontId="2" fillId="0" borderId="0" xfId="0" applyNumberFormat="1" applyFont="1" applyBorder="1" applyAlignment="1" applyProtection="1">
      <alignment horizontal="right"/>
      <protection locked="0"/>
    </xf>
    <xf numFmtId="0" fontId="10" fillId="0" borderId="0" xfId="0" applyFont="1" applyBorder="1" applyAlignment="1" applyProtection="1">
      <alignment horizontal="right" wrapText="1"/>
      <protection locked="0"/>
    </xf>
    <xf numFmtId="0" fontId="10" fillId="0" borderId="0" xfId="0" applyFont="1" applyBorder="1" applyAlignment="1" applyProtection="1">
      <alignment horizontal="left"/>
      <protection locked="0"/>
    </xf>
    <xf numFmtId="0" fontId="2" fillId="0" borderId="0" xfId="0" applyFont="1" applyBorder="1" applyAlignment="1" applyProtection="1">
      <alignment horizontal="right" wrapText="1"/>
      <protection locked="0"/>
    </xf>
    <xf numFmtId="3" fontId="1" fillId="7" borderId="1" xfId="0" applyNumberFormat="1"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2" fontId="0" fillId="0" borderId="0" xfId="0" applyNumberFormat="1" applyBorder="1" applyAlignment="1" applyProtection="1">
      <alignment horizontal="center" wrapText="1"/>
      <protection locked="0"/>
    </xf>
    <xf numFmtId="0" fontId="0" fillId="5" borderId="0" xfId="0" applyFill="1" applyAlignment="1" applyProtection="1">
      <alignment horizontal="center"/>
      <protection locked="0"/>
    </xf>
    <xf numFmtId="0" fontId="1" fillId="0" borderId="0" xfId="0" applyFont="1" applyBorder="1" applyAlignment="1" applyProtection="1">
      <alignment horizontal="center"/>
      <protection locked="0"/>
    </xf>
    <xf numFmtId="0" fontId="6" fillId="0" borderId="0" xfId="0" applyFont="1" applyAlignment="1" applyProtection="1">
      <alignment horizontal="center"/>
      <protection locked="0"/>
    </xf>
    <xf numFmtId="0" fontId="0" fillId="0" borderId="7" xfId="0" applyFill="1" applyBorder="1" applyAlignment="1" applyProtection="1">
      <alignment horizontal="center"/>
      <protection locked="0"/>
    </xf>
    <xf numFmtId="3" fontId="0" fillId="0" borderId="8" xfId="0" applyNumberFormat="1" applyFill="1" applyBorder="1" applyAlignment="1" applyProtection="1">
      <alignment horizontal="center"/>
      <protection locked="0"/>
    </xf>
    <xf numFmtId="3" fontId="4" fillId="0" borderId="8" xfId="0" applyNumberFormat="1" applyFont="1" applyFill="1" applyBorder="1" applyAlignment="1" applyProtection="1">
      <alignment horizontal="center"/>
      <protection locked="0"/>
    </xf>
    <xf numFmtId="0" fontId="0" fillId="0" borderId="8" xfId="0" applyFont="1" applyBorder="1" applyAlignment="1" applyProtection="1">
      <alignment horizontal="center"/>
      <protection locked="0"/>
    </xf>
    <xf numFmtId="3" fontId="5" fillId="0" borderId="7" xfId="0" applyNumberFormat="1" applyFont="1" applyBorder="1" applyAlignment="1" applyProtection="1">
      <alignment horizontal="right" wrapText="1"/>
      <protection locked="0"/>
    </xf>
    <xf numFmtId="3" fontId="5" fillId="0" borderId="9" xfId="0" applyNumberFormat="1" applyFont="1" applyBorder="1" applyAlignment="1" applyProtection="1">
      <alignment horizontal="left" wrapText="1"/>
      <protection locked="0"/>
    </xf>
    <xf numFmtId="0" fontId="0" fillId="0" borderId="10" xfId="0" applyBorder="1" applyAlignment="1" applyProtection="1">
      <alignment horizontal="center"/>
      <protection locked="0"/>
    </xf>
    <xf numFmtId="3" fontId="0" fillId="0" borderId="12" xfId="0" applyNumberFormat="1" applyBorder="1" applyAlignment="1" applyProtection="1">
      <alignment horizontal="center"/>
      <protection locked="0"/>
    </xf>
    <xf numFmtId="3" fontId="4" fillId="0" borderId="12" xfId="0" applyNumberFormat="1" applyFont="1" applyBorder="1" applyAlignment="1" applyProtection="1">
      <alignment horizontal="center"/>
      <protection locked="0"/>
    </xf>
    <xf numFmtId="0" fontId="0" fillId="0" borderId="12" xfId="0" applyFont="1" applyBorder="1" applyAlignment="1" applyProtection="1">
      <alignment horizontal="center"/>
      <protection locked="0"/>
    </xf>
    <xf numFmtId="3" fontId="0" fillId="0" borderId="10" xfId="0" applyNumberFormat="1" applyBorder="1" applyAlignment="1" applyProtection="1">
      <alignment horizontal="right" wrapText="1"/>
      <protection locked="0"/>
    </xf>
    <xf numFmtId="3" fontId="0" fillId="0" borderId="11" xfId="0" applyNumberFormat="1" applyBorder="1" applyAlignment="1" applyProtection="1">
      <alignment horizontal="left" wrapText="1"/>
      <protection locked="0"/>
    </xf>
    <xf numFmtId="0" fontId="0" fillId="0" borderId="12" xfId="0" applyBorder="1" applyAlignment="1" applyProtection="1">
      <alignment horizontal="center"/>
      <protection locked="0"/>
    </xf>
    <xf numFmtId="0" fontId="4" fillId="0" borderId="12" xfId="0" applyFont="1" applyBorder="1" applyAlignment="1" applyProtection="1">
      <alignment horizontal="center"/>
      <protection locked="0"/>
    </xf>
    <xf numFmtId="3" fontId="0" fillId="0" borderId="10" xfId="0" applyNumberFormat="1" applyBorder="1" applyAlignment="1" applyProtection="1">
      <alignment horizontal="right"/>
      <protection locked="0"/>
    </xf>
    <xf numFmtId="0" fontId="2" fillId="0" borderId="12" xfId="0" applyFont="1" applyBorder="1" applyAlignment="1" applyProtection="1">
      <alignment horizontal="center"/>
      <protection locked="0"/>
    </xf>
    <xf numFmtId="0" fontId="0" fillId="0" borderId="0" xfId="0" applyAlignment="1" applyProtection="1">
      <alignment horizontal="left"/>
      <protection locked="0"/>
    </xf>
    <xf numFmtId="0" fontId="1" fillId="5" borderId="0" xfId="0" applyFont="1" applyFill="1" applyAlignment="1" applyProtection="1">
      <alignment horizontal="left"/>
      <protection locked="0"/>
    </xf>
    <xf numFmtId="0" fontId="2" fillId="5" borderId="0" xfId="0" applyFont="1" applyFill="1" applyAlignment="1" applyProtection="1">
      <alignment horizontal="center"/>
      <protection locked="0"/>
    </xf>
    <xf numFmtId="0" fontId="1" fillId="0" borderId="0" xfId="0" applyFont="1" applyFill="1" applyAlignment="1" applyProtection="1">
      <alignment horizontal="left"/>
      <protection locked="0"/>
    </xf>
    <xf numFmtId="0" fontId="2" fillId="5" borderId="0" xfId="0" applyFont="1" applyFill="1" applyBorder="1" applyAlignment="1" applyProtection="1">
      <alignment horizontal="center"/>
      <protection locked="0"/>
    </xf>
    <xf numFmtId="0" fontId="0" fillId="5" borderId="0" xfId="0" applyFont="1" applyFill="1" applyBorder="1" applyAlignment="1" applyProtection="1">
      <alignment horizontal="center"/>
      <protection locked="0"/>
    </xf>
    <xf numFmtId="2" fontId="0" fillId="5" borderId="0" xfId="0" applyNumberFormat="1" applyFill="1" applyBorder="1" applyAlignment="1" applyProtection="1">
      <alignment horizontal="center" wrapText="1"/>
      <protection locked="0"/>
    </xf>
    <xf numFmtId="0" fontId="12" fillId="5" borderId="0" xfId="0" applyFont="1" applyFill="1" applyBorder="1" applyAlignment="1" applyProtection="1">
      <alignment horizontal="center"/>
      <protection locked="0"/>
    </xf>
    <xf numFmtId="0" fontId="11" fillId="5" borderId="0" xfId="0" applyFont="1" applyFill="1" applyBorder="1" applyAlignment="1" applyProtection="1">
      <alignment horizontal="center"/>
      <protection locked="0"/>
    </xf>
    <xf numFmtId="164" fontId="16" fillId="5" borderId="0" xfId="0" applyNumberFormat="1" applyFont="1" applyFill="1" applyBorder="1" applyAlignment="1" applyProtection="1">
      <alignment horizontal="center"/>
      <protection locked="0"/>
    </xf>
    <xf numFmtId="0" fontId="0" fillId="5" borderId="0" xfId="0" applyFill="1" applyBorder="1" applyAlignment="1" applyProtection="1">
      <alignment horizontal="center"/>
      <protection locked="0"/>
    </xf>
    <xf numFmtId="2" fontId="17" fillId="5" borderId="0" xfId="0" quotePrefix="1" applyNumberFormat="1" applyFont="1" applyFill="1" applyBorder="1" applyAlignment="1" applyProtection="1">
      <alignment horizontal="center"/>
      <protection locked="0"/>
    </xf>
    <xf numFmtId="0" fontId="0" fillId="0" borderId="7" xfId="0" applyBorder="1" applyAlignment="1" applyProtection="1">
      <alignment horizontal="center"/>
      <protection locked="0"/>
    </xf>
    <xf numFmtId="3" fontId="0" fillId="0" borderId="8" xfId="0" applyNumberFormat="1" applyBorder="1" applyAlignment="1" applyProtection="1">
      <alignment horizontal="center"/>
      <protection locked="0"/>
    </xf>
    <xf numFmtId="3" fontId="5" fillId="5" borderId="0" xfId="0" applyNumberFormat="1" applyFont="1" applyFill="1" applyBorder="1" applyAlignment="1" applyProtection="1">
      <alignment horizontal="center" wrapText="1"/>
      <protection locked="0"/>
    </xf>
    <xf numFmtId="2" fontId="17" fillId="5" borderId="0" xfId="0" applyNumberFormat="1" applyFont="1" applyFill="1" applyBorder="1" applyAlignment="1" applyProtection="1">
      <alignment horizontal="center"/>
      <protection locked="0"/>
    </xf>
    <xf numFmtId="3" fontId="0" fillId="5" borderId="0" xfId="0" applyNumberFormat="1" applyFill="1" applyBorder="1" applyAlignment="1" applyProtection="1">
      <alignment horizontal="center" wrapText="1"/>
      <protection locked="0"/>
    </xf>
    <xf numFmtId="3" fontId="0" fillId="5" borderId="0" xfId="0" applyNumberFormat="1" applyFill="1" applyBorder="1" applyAlignment="1" applyProtection="1">
      <alignment horizontal="center"/>
      <protection locked="0"/>
    </xf>
    <xf numFmtId="0" fontId="1" fillId="5" borderId="0" xfId="0" applyFont="1" applyFill="1" applyAlignment="1" applyProtection="1">
      <alignment horizontal="center"/>
      <protection locked="0"/>
    </xf>
    <xf numFmtId="0" fontId="26" fillId="0" borderId="0" xfId="0" applyFont="1" applyAlignment="1" applyProtection="1">
      <alignment horizontal="center"/>
      <protection locked="0"/>
    </xf>
    <xf numFmtId="0" fontId="0" fillId="5" borderId="3" xfId="0" applyFill="1" applyBorder="1" applyAlignment="1" applyProtection="1">
      <alignment horizontal="center"/>
      <protection locked="0"/>
    </xf>
    <xf numFmtId="0" fontId="0" fillId="0" borderId="1" xfId="0" applyBorder="1" applyAlignment="1" applyProtection="1">
      <alignment horizontal="center"/>
      <protection locked="0"/>
    </xf>
    <xf numFmtId="0" fontId="20" fillId="5" borderId="1" xfId="0" applyFont="1" applyFill="1" applyBorder="1" applyAlignment="1" applyProtection="1">
      <alignment horizontal="center"/>
      <protection locked="0"/>
    </xf>
    <xf numFmtId="0" fontId="4" fillId="0" borderId="0"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0" fillId="0" borderId="0" xfId="0" applyFill="1" applyAlignment="1" applyProtection="1">
      <alignment horizontal="right"/>
      <protection locked="0"/>
    </xf>
    <xf numFmtId="0" fontId="1" fillId="5" borderId="2" xfId="0" applyFont="1" applyFill="1" applyBorder="1" applyAlignment="1" applyProtection="1">
      <alignment horizontal="center"/>
      <protection locked="0"/>
    </xf>
    <xf numFmtId="3" fontId="0" fillId="0" borderId="9" xfId="0" applyNumberFormat="1" applyFont="1" applyBorder="1" applyAlignment="1" applyProtection="1">
      <alignment horizontal="center"/>
      <protection locked="0"/>
    </xf>
    <xf numFmtId="3" fontId="0" fillId="0" borderId="1" xfId="0" applyNumberFormat="1" applyFont="1" applyBorder="1" applyAlignment="1" applyProtection="1">
      <alignment horizontal="center"/>
      <protection locked="0"/>
    </xf>
    <xf numFmtId="0" fontId="0" fillId="0" borderId="3" xfId="0" applyBorder="1" applyAlignment="1" applyProtection="1">
      <alignment horizontal="center"/>
      <protection locked="0"/>
    </xf>
    <xf numFmtId="3" fontId="0" fillId="0" borderId="5" xfId="0" applyNumberFormat="1" applyFont="1" applyBorder="1" applyAlignment="1" applyProtection="1">
      <alignment horizontal="center"/>
      <protection locked="0"/>
    </xf>
    <xf numFmtId="0" fontId="0" fillId="0" borderId="0" xfId="0" applyFill="1" applyAlignment="1" applyProtection="1">
      <alignment horizontal="center"/>
      <protection locked="0"/>
    </xf>
    <xf numFmtId="0" fontId="2" fillId="0" borderId="0" xfId="0" applyFont="1" applyFill="1" applyAlignment="1" applyProtection="1">
      <alignment horizontal="center"/>
      <protection locked="0"/>
    </xf>
    <xf numFmtId="3" fontId="4" fillId="0" borderId="0" xfId="0" applyNumberFormat="1" applyFont="1" applyBorder="1" applyAlignment="1" applyProtection="1">
      <alignment horizontal="center"/>
      <protection locked="0"/>
    </xf>
    <xf numFmtId="0" fontId="0" fillId="0" borderId="13" xfId="0" applyBorder="1" applyAlignment="1" applyProtection="1">
      <alignment horizontal="center"/>
      <protection locked="0"/>
    </xf>
    <xf numFmtId="0" fontId="1" fillId="0" borderId="0" xfId="0" applyFont="1" applyFill="1" applyAlignment="1" applyProtection="1">
      <alignment horizontal="center"/>
      <protection locked="0"/>
    </xf>
    <xf numFmtId="0" fontId="0" fillId="0" borderId="0" xfId="0" applyFont="1" applyBorder="1" applyAlignment="1" applyProtection="1">
      <alignment horizontal="center" wrapText="1"/>
      <protection locked="0"/>
    </xf>
    <xf numFmtId="0" fontId="3" fillId="0" borderId="0" xfId="0" applyFont="1" applyBorder="1" applyAlignment="1" applyProtection="1">
      <alignment horizontal="right" wrapText="1"/>
      <protection locked="0"/>
    </xf>
    <xf numFmtId="0" fontId="2" fillId="5" borderId="0" xfId="0" applyFont="1" applyFill="1" applyBorder="1" applyAlignment="1" applyProtection="1">
      <alignment horizontal="right"/>
      <protection locked="0"/>
    </xf>
    <xf numFmtId="0" fontId="6" fillId="0" borderId="0" xfId="0" applyFont="1" applyBorder="1" applyAlignment="1" applyProtection="1">
      <alignment horizontal="center"/>
      <protection locked="0"/>
    </xf>
    <xf numFmtId="3" fontId="0" fillId="0" borderId="1" xfId="0" applyNumberFormat="1" applyFill="1" applyBorder="1" applyAlignment="1" applyProtection="1">
      <alignment horizontal="center"/>
      <protection locked="0"/>
    </xf>
    <xf numFmtId="3" fontId="0" fillId="0" borderId="0" xfId="0" applyNumberFormat="1" applyFill="1" applyBorder="1" applyAlignment="1" applyProtection="1">
      <alignment horizontal="right" wrapText="1"/>
    </xf>
    <xf numFmtId="3" fontId="0" fillId="0" borderId="8" xfId="0" applyNumberFormat="1" applyFill="1" applyBorder="1" applyAlignment="1" applyProtection="1">
      <alignment horizontal="right" wrapText="1"/>
    </xf>
    <xf numFmtId="3" fontId="0" fillId="0" borderId="8" xfId="0" applyNumberFormat="1" applyFill="1" applyBorder="1" applyAlignment="1" applyProtection="1">
      <alignment horizontal="left" wrapText="1"/>
    </xf>
    <xf numFmtId="0" fontId="0" fillId="0" borderId="8" xfId="0" applyFill="1" applyBorder="1" applyAlignment="1" applyProtection="1">
      <alignment horizontal="left"/>
    </xf>
    <xf numFmtId="0" fontId="0" fillId="0" borderId="8" xfId="0" applyFill="1" applyBorder="1" applyAlignment="1" applyProtection="1">
      <alignment horizontal="center" wrapText="1"/>
    </xf>
    <xf numFmtId="0" fontId="29" fillId="0" borderId="4" xfId="0" applyFont="1" applyFill="1" applyBorder="1" applyAlignment="1" applyProtection="1">
      <alignment horizontal="center"/>
    </xf>
    <xf numFmtId="0" fontId="1" fillId="10" borderId="0" xfId="0" applyFont="1" applyFill="1" applyBorder="1" applyAlignment="1" applyProtection="1">
      <alignment horizontal="left"/>
    </xf>
    <xf numFmtId="0" fontId="0" fillId="0" borderId="9" xfId="0" applyFont="1" applyFill="1" applyBorder="1" applyAlignment="1" applyProtection="1">
      <alignment horizontal="center"/>
    </xf>
    <xf numFmtId="0" fontId="0" fillId="0" borderId="11" xfId="0" applyFont="1" applyFill="1" applyBorder="1" applyAlignment="1" applyProtection="1">
      <alignment horizontal="center"/>
    </xf>
    <xf numFmtId="0" fontId="0" fillId="10" borderId="0" xfId="0" applyFill="1" applyBorder="1" applyAlignment="1">
      <alignment horizontal="center" wrapText="1"/>
    </xf>
    <xf numFmtId="0" fontId="29" fillId="10" borderId="0" xfId="0" applyFont="1" applyFill="1" applyBorder="1" applyAlignment="1" applyProtection="1">
      <alignment horizontal="left" wrapText="1"/>
    </xf>
    <xf numFmtId="3" fontId="5" fillId="10" borderId="0" xfId="0" applyNumberFormat="1" applyFont="1" applyFill="1" applyBorder="1" applyAlignment="1" applyProtection="1">
      <alignment horizontal="left" wrapText="1"/>
    </xf>
    <xf numFmtId="0" fontId="0" fillId="0" borderId="15" xfId="0" applyFill="1" applyBorder="1" applyAlignment="1">
      <alignment horizontal="center" wrapText="1"/>
    </xf>
    <xf numFmtId="0" fontId="29" fillId="0" borderId="15" xfId="0" applyFont="1" applyFill="1" applyBorder="1" applyAlignment="1" applyProtection="1">
      <alignment horizontal="right" wrapText="1"/>
    </xf>
    <xf numFmtId="0" fontId="0" fillId="0" borderId="5" xfId="0" applyFill="1" applyBorder="1" applyAlignment="1" applyProtection="1">
      <alignment horizontal="center"/>
    </xf>
    <xf numFmtId="0" fontId="29" fillId="0" borderId="5" xfId="0" applyFont="1" applyFill="1" applyBorder="1" applyAlignment="1" applyProtection="1">
      <alignment horizontal="right" wrapText="1"/>
    </xf>
    <xf numFmtId="0" fontId="5" fillId="0" borderId="15" xfId="0" applyFont="1" applyBorder="1" applyAlignment="1" applyProtection="1">
      <alignment horizontal="left"/>
      <protection locked="0"/>
    </xf>
    <xf numFmtId="0" fontId="5" fillId="0" borderId="9" xfId="0" applyFont="1" applyBorder="1" applyAlignment="1" applyProtection="1">
      <alignment horizontal="left"/>
      <protection locked="0"/>
    </xf>
    <xf numFmtId="0" fontId="5" fillId="0" borderId="5" xfId="0" applyFont="1" applyBorder="1" applyAlignment="1" applyProtection="1">
      <alignment horizontal="left"/>
      <protection locked="0"/>
    </xf>
    <xf numFmtId="0" fontId="5" fillId="0" borderId="11" xfId="0" applyFont="1" applyBorder="1" applyAlignment="1" applyProtection="1">
      <alignment horizontal="left"/>
      <protection locked="0"/>
    </xf>
    <xf numFmtId="3" fontId="0" fillId="0" borderId="1" xfId="0" applyNumberFormat="1" applyBorder="1"/>
    <xf numFmtId="0" fontId="0" fillId="5" borderId="0" xfId="0" applyFill="1"/>
    <xf numFmtId="3" fontId="0" fillId="4" borderId="15" xfId="0" applyNumberFormat="1" applyFont="1" applyFill="1" applyBorder="1" applyAlignment="1">
      <alignment horizontal="center"/>
    </xf>
    <xf numFmtId="3" fontId="0" fillId="4" borderId="11" xfId="0" applyNumberFormat="1" applyFont="1" applyFill="1" applyBorder="1" applyAlignment="1">
      <alignment horizontal="center"/>
    </xf>
    <xf numFmtId="0" fontId="0" fillId="0" borderId="0" xfId="0" applyBorder="1" applyAlignment="1">
      <alignment horizontal="center"/>
    </xf>
    <xf numFmtId="0" fontId="5" fillId="0" borderId="10" xfId="0" applyFont="1" applyBorder="1" applyAlignment="1">
      <alignment horizontal="center"/>
    </xf>
    <xf numFmtId="0" fontId="5" fillId="0" borderId="12" xfId="0" applyFont="1" applyBorder="1" applyAlignment="1">
      <alignment horizontal="center"/>
    </xf>
    <xf numFmtId="0" fontId="5" fillId="0" borderId="11" xfId="0" applyFont="1" applyBorder="1" applyAlignment="1">
      <alignment horizontal="center"/>
    </xf>
    <xf numFmtId="3" fontId="0" fillId="0" borderId="8" xfId="0" applyNumberFormat="1" applyBorder="1" applyAlignment="1">
      <alignment horizontal="center"/>
    </xf>
    <xf numFmtId="3" fontId="0" fillId="0" borderId="9" xfId="0" applyNumberFormat="1" applyBorder="1" applyAlignment="1">
      <alignment horizontal="center"/>
    </xf>
    <xf numFmtId="3" fontId="0" fillId="0" borderId="0" xfId="0" applyNumberFormat="1" applyBorder="1" applyAlignment="1">
      <alignment horizontal="center"/>
    </xf>
    <xf numFmtId="3" fontId="0" fillId="0" borderId="15" xfId="0" applyNumberFormat="1" applyBorder="1" applyAlignment="1">
      <alignment horizontal="center"/>
    </xf>
    <xf numFmtId="3" fontId="0" fillId="0" borderId="12" xfId="0" applyNumberFormat="1" applyBorder="1" applyAlignment="1">
      <alignment horizontal="center"/>
    </xf>
    <xf numFmtId="3" fontId="0" fillId="0" borderId="11" xfId="0" applyNumberFormat="1" applyBorder="1" applyAlignment="1">
      <alignment horizontal="center"/>
    </xf>
    <xf numFmtId="3" fontId="0" fillId="4" borderId="9" xfId="0" applyNumberFormat="1" applyFont="1" applyFill="1" applyBorder="1" applyAlignment="1">
      <alignment horizontal="center"/>
    </xf>
    <xf numFmtId="0" fontId="32" fillId="0" borderId="0" xfId="0" applyFont="1" applyFill="1"/>
    <xf numFmtId="0" fontId="32" fillId="0" borderId="0" xfId="0" applyFont="1"/>
    <xf numFmtId="0" fontId="0" fillId="0" borderId="0" xfId="0" applyFill="1" applyBorder="1"/>
    <xf numFmtId="0" fontId="2" fillId="0" borderId="0" xfId="0" applyFont="1" applyFill="1" applyBorder="1"/>
    <xf numFmtId="0" fontId="2" fillId="0" borderId="0" xfId="0" applyFont="1"/>
    <xf numFmtId="0" fontId="0" fillId="13" borderId="0" xfId="0" applyFill="1"/>
    <xf numFmtId="4" fontId="0" fillId="0" borderId="7" xfId="0" applyNumberFormat="1" applyBorder="1" applyAlignment="1">
      <alignment horizontal="center"/>
    </xf>
    <xf numFmtId="4" fontId="0" fillId="0" borderId="8" xfId="0" applyNumberFormat="1" applyBorder="1" applyAlignment="1">
      <alignment horizontal="center"/>
    </xf>
    <xf numFmtId="4" fontId="0" fillId="0" borderId="9" xfId="0" applyNumberFormat="1" applyBorder="1" applyAlignment="1">
      <alignment horizontal="center"/>
    </xf>
    <xf numFmtId="4" fontId="0" fillId="0" borderId="6" xfId="0" applyNumberFormat="1" applyBorder="1" applyAlignment="1">
      <alignment horizontal="center"/>
    </xf>
    <xf numFmtId="4" fontId="0" fillId="0" borderId="0" xfId="0" applyNumberFormat="1" applyBorder="1" applyAlignment="1">
      <alignment horizontal="center"/>
    </xf>
    <xf numFmtId="4" fontId="0" fillId="0" borderId="15" xfId="0" applyNumberFormat="1" applyBorder="1" applyAlignment="1">
      <alignment horizontal="center"/>
    </xf>
    <xf numFmtId="4" fontId="0" fillId="0" borderId="10" xfId="0" applyNumberFormat="1" applyBorder="1" applyAlignment="1">
      <alignment horizontal="center"/>
    </xf>
    <xf numFmtId="4" fontId="0" fillId="0" borderId="12" xfId="0" applyNumberFormat="1" applyBorder="1" applyAlignment="1">
      <alignment horizontal="center"/>
    </xf>
    <xf numFmtId="4" fontId="0" fillId="0" borderId="11" xfId="0" applyNumberFormat="1" applyBorder="1" applyAlignment="1">
      <alignment horizontal="center"/>
    </xf>
    <xf numFmtId="0" fontId="5" fillId="0" borderId="6" xfId="0" applyFont="1" applyBorder="1" applyAlignment="1">
      <alignment horizontal="center"/>
    </xf>
    <xf numFmtId="0" fontId="5" fillId="0" borderId="0" xfId="0" applyFont="1" applyBorder="1" applyAlignment="1">
      <alignment horizontal="center"/>
    </xf>
    <xf numFmtId="0" fontId="5" fillId="0" borderId="15" xfId="0" applyFont="1" applyBorder="1" applyAlignment="1">
      <alignment horizontal="center"/>
    </xf>
    <xf numFmtId="3" fontId="0" fillId="0" borderId="13" xfId="0" applyNumberFormat="1" applyFill="1" applyBorder="1" applyAlignment="1">
      <alignment horizontal="center"/>
    </xf>
    <xf numFmtId="3" fontId="0" fillId="0" borderId="14" xfId="0" applyNumberFormat="1" applyFill="1" applyBorder="1" applyAlignment="1">
      <alignment horizontal="center"/>
    </xf>
    <xf numFmtId="3" fontId="0" fillId="0" borderId="2" xfId="0" applyNumberFormat="1" applyFill="1" applyBorder="1" applyAlignment="1">
      <alignment horizontal="center"/>
    </xf>
    <xf numFmtId="3" fontId="0" fillId="0" borderId="7" xfId="0" applyNumberFormat="1" applyFill="1" applyBorder="1" applyAlignment="1">
      <alignment horizontal="center"/>
    </xf>
    <xf numFmtId="3" fontId="0" fillId="0" borderId="6" xfId="0" applyNumberFormat="1" applyFill="1" applyBorder="1" applyAlignment="1">
      <alignment horizontal="center"/>
    </xf>
    <xf numFmtId="3" fontId="0" fillId="0" borderId="10" xfId="0" applyNumberFormat="1" applyFill="1" applyBorder="1" applyAlignment="1">
      <alignment horizontal="center"/>
    </xf>
    <xf numFmtId="0" fontId="0" fillId="0" borderId="0" xfId="0" applyBorder="1" applyAlignment="1"/>
    <xf numFmtId="0" fontId="18" fillId="0" borderId="1" xfId="0" applyFont="1" applyBorder="1" applyAlignment="1">
      <alignment horizontal="center"/>
    </xf>
    <xf numFmtId="0" fontId="18" fillId="0" borderId="14" xfId="0" applyFont="1" applyBorder="1" applyAlignment="1">
      <alignment horizontal="center"/>
    </xf>
    <xf numFmtId="0" fontId="18" fillId="0" borderId="2" xfId="0" applyFont="1" applyBorder="1" applyAlignment="1">
      <alignment horizontal="center"/>
    </xf>
    <xf numFmtId="0" fontId="0" fillId="4" borderId="1" xfId="0" applyFill="1" applyBorder="1" applyAlignment="1">
      <alignment horizontal="center"/>
    </xf>
    <xf numFmtId="3" fontId="0" fillId="0" borderId="1" xfId="0" applyNumberFormat="1" applyFill="1" applyBorder="1"/>
    <xf numFmtId="0" fontId="0" fillId="5" borderId="0" xfId="0" applyFill="1" applyBorder="1" applyAlignment="1" applyProtection="1">
      <alignment horizontal="center" wrapText="1"/>
      <protection locked="0"/>
    </xf>
    <xf numFmtId="165" fontId="2" fillId="0" borderId="0" xfId="0" applyNumberFormat="1" applyFont="1" applyFill="1" applyBorder="1" applyAlignment="1">
      <alignment horizontal="center" wrapText="1"/>
    </xf>
    <xf numFmtId="165" fontId="2" fillId="2" borderId="8" xfId="0" applyNumberFormat="1" applyFont="1" applyFill="1" applyBorder="1" applyAlignment="1">
      <alignment horizontal="center" wrapText="1"/>
    </xf>
    <xf numFmtId="165" fontId="2" fillId="2" borderId="9" xfId="0" applyNumberFormat="1" applyFont="1" applyFill="1" applyBorder="1" applyAlignment="1">
      <alignment horizontal="center" wrapText="1"/>
    </xf>
    <xf numFmtId="0" fontId="0" fillId="2" borderId="7" xfId="0" applyFill="1" applyBorder="1"/>
    <xf numFmtId="0" fontId="0" fillId="2" borderId="8" xfId="0" applyFill="1" applyBorder="1"/>
    <xf numFmtId="164" fontId="2" fillId="2" borderId="0" xfId="0" applyNumberFormat="1" applyFont="1" applyFill="1" applyBorder="1" applyAlignment="1">
      <alignment horizontal="center"/>
    </xf>
    <xf numFmtId="164" fontId="2" fillId="2" borderId="15" xfId="0" applyNumberFormat="1" applyFont="1" applyFill="1" applyBorder="1" applyAlignment="1">
      <alignment horizontal="center"/>
    </xf>
    <xf numFmtId="165" fontId="0" fillId="0" borderId="0" xfId="0" applyNumberFormat="1" applyBorder="1" applyAlignment="1">
      <alignment horizontal="center" wrapText="1"/>
    </xf>
    <xf numFmtId="165" fontId="2" fillId="0" borderId="15" xfId="0" applyNumberFormat="1" applyFont="1" applyFill="1" applyBorder="1" applyAlignment="1">
      <alignment horizontal="center" wrapText="1"/>
    </xf>
    <xf numFmtId="0" fontId="0" fillId="14" borderId="0" xfId="0" applyFill="1"/>
    <xf numFmtId="0" fontId="0" fillId="5" borderId="0" xfId="0" applyFill="1" applyBorder="1" applyAlignment="1" applyProtection="1">
      <alignment horizontal="center" wrapText="1"/>
      <protection locked="0"/>
    </xf>
    <xf numFmtId="0" fontId="0" fillId="0" borderId="0" xfId="0" applyBorder="1" applyAlignment="1">
      <alignment horizontal="center" wrapText="1"/>
    </xf>
    <xf numFmtId="0" fontId="0" fillId="0" borderId="1" xfId="0" applyFill="1" applyBorder="1"/>
    <xf numFmtId="0" fontId="0" fillId="0" borderId="0" xfId="0" applyBorder="1" applyAlignment="1">
      <alignment wrapText="1"/>
    </xf>
    <xf numFmtId="0" fontId="0" fillId="0" borderId="0" xfId="0" applyFill="1" applyBorder="1" applyAlignment="1">
      <alignment horizontal="center" vertical="center" wrapText="1"/>
    </xf>
    <xf numFmtId="3" fontId="0" fillId="0" borderId="0" xfId="0" applyNumberFormat="1" applyBorder="1" applyAlignment="1">
      <alignment horizontal="center" vertical="center" wrapText="1"/>
    </xf>
    <xf numFmtId="0" fontId="0" fillId="0" borderId="15" xfId="0" applyFont="1" applyBorder="1" applyAlignment="1">
      <alignment horizontal="center"/>
    </xf>
    <xf numFmtId="3" fontId="0" fillId="0" borderId="0" xfId="0" applyNumberFormat="1" applyFont="1" applyBorder="1" applyAlignment="1">
      <alignment horizontal="center"/>
    </xf>
    <xf numFmtId="3" fontId="0" fillId="0" borderId="13" xfId="0" applyNumberFormat="1" applyFont="1" applyBorder="1" applyAlignment="1">
      <alignment horizontal="center"/>
    </xf>
    <xf numFmtId="3" fontId="0" fillId="0" borderId="14" xfId="0" applyNumberFormat="1" applyFont="1" applyBorder="1" applyAlignment="1">
      <alignment horizontal="center"/>
    </xf>
    <xf numFmtId="3" fontId="0" fillId="0" borderId="2" xfId="0" applyNumberFormat="1" applyFont="1" applyBorder="1" applyAlignment="1">
      <alignment horizontal="center"/>
    </xf>
    <xf numFmtId="0" fontId="0" fillId="0" borderId="8" xfId="0" applyBorder="1" applyAlignment="1"/>
    <xf numFmtId="3" fontId="0" fillId="0" borderId="8" xfId="0" applyNumberFormat="1" applyFont="1" applyBorder="1" applyAlignment="1">
      <alignment horizontal="center"/>
    </xf>
    <xf numFmtId="0" fontId="0" fillId="0" borderId="9" xfId="0" applyBorder="1"/>
    <xf numFmtId="0" fontId="0" fillId="0" borderId="15" xfId="0" applyBorder="1"/>
    <xf numFmtId="0" fontId="0" fillId="0" borderId="12" xfId="0" applyBorder="1" applyAlignment="1"/>
    <xf numFmtId="3" fontId="0" fillId="0" borderId="12" xfId="0" applyNumberFormat="1" applyFont="1" applyBorder="1" applyAlignment="1">
      <alignment horizontal="center"/>
    </xf>
    <xf numFmtId="0" fontId="0" fillId="0" borderId="11" xfId="0" applyBorder="1"/>
    <xf numFmtId="3" fontId="0" fillId="0" borderId="9" xfId="0" applyNumberFormat="1" applyFont="1" applyBorder="1" applyAlignment="1">
      <alignment horizontal="center"/>
    </xf>
    <xf numFmtId="3" fontId="0" fillId="0" borderId="15" xfId="0" applyNumberFormat="1" applyFont="1" applyBorder="1" applyAlignment="1">
      <alignment horizontal="center"/>
    </xf>
    <xf numFmtId="3" fontId="0" fillId="0" borderId="11" xfId="0" applyNumberFormat="1" applyFont="1" applyBorder="1" applyAlignment="1">
      <alignment horizontal="center"/>
    </xf>
    <xf numFmtId="3" fontId="0" fillId="0" borderId="15" xfId="0" applyNumberFormat="1" applyFill="1" applyBorder="1" applyAlignment="1">
      <alignment horizontal="center"/>
    </xf>
    <xf numFmtId="3" fontId="0" fillId="0" borderId="11" xfId="0" applyNumberFormat="1" applyFill="1" applyBorder="1" applyAlignment="1">
      <alignment horizontal="center"/>
    </xf>
    <xf numFmtId="0" fontId="0" fillId="0" borderId="0" xfId="0" applyFill="1" applyBorder="1" applyAlignment="1">
      <alignment horizontal="center" vertical="center" wrapText="1"/>
    </xf>
    <xf numFmtId="0" fontId="0" fillId="0" borderId="0" xfId="0" applyFill="1" applyBorder="1" applyAlignment="1">
      <alignment horizontal="center"/>
    </xf>
    <xf numFmtId="3" fontId="20" fillId="9" borderId="0" xfId="0" applyNumberFormat="1" applyFont="1" applyFill="1" applyBorder="1" applyAlignment="1">
      <alignment horizontal="left" vertical="center"/>
    </xf>
    <xf numFmtId="3" fontId="20" fillId="9" borderId="0" xfId="0" applyNumberFormat="1" applyFont="1" applyFill="1" applyBorder="1" applyAlignment="1">
      <alignment horizontal="left" vertical="center" wrapText="1"/>
    </xf>
    <xf numFmtId="3" fontId="0" fillId="0" borderId="0" xfId="0" applyNumberFormat="1" applyBorder="1" applyAlignment="1">
      <alignment horizontal="left" vertical="center"/>
    </xf>
    <xf numFmtId="3" fontId="0" fillId="0" borderId="0" xfId="0" applyNumberFormat="1" applyBorder="1" applyAlignment="1">
      <alignment horizontal="right" vertical="center"/>
    </xf>
    <xf numFmtId="3" fontId="0" fillId="5" borderId="0" xfId="0" applyNumberFormat="1" applyFill="1" applyAlignment="1" applyProtection="1">
      <alignment horizontal="center"/>
      <protection locked="0"/>
    </xf>
    <xf numFmtId="0" fontId="0" fillId="0" borderId="0" xfId="0" applyFont="1" applyBorder="1" applyAlignment="1" applyProtection="1">
      <alignment horizontal="center"/>
      <protection locked="0"/>
    </xf>
    <xf numFmtId="3" fontId="0" fillId="0" borderId="0" xfId="0" applyNumberFormat="1" applyBorder="1" applyAlignment="1" applyProtection="1">
      <alignment horizontal="right"/>
      <protection locked="0"/>
    </xf>
    <xf numFmtId="3" fontId="0" fillId="5" borderId="0" xfId="0" applyNumberFormat="1" applyFill="1" applyBorder="1" applyAlignment="1">
      <alignment horizontal="center" vertical="center" wrapText="1"/>
    </xf>
    <xf numFmtId="0" fontId="1" fillId="5" borderId="0" xfId="0" applyFont="1" applyFill="1" applyAlignment="1">
      <alignment horizontal="center"/>
    </xf>
    <xf numFmtId="3" fontId="0" fillId="4" borderId="0" xfId="0" applyNumberFormat="1" applyFill="1" applyAlignment="1" applyProtection="1">
      <alignment horizontal="center"/>
      <protection locked="0"/>
    </xf>
    <xf numFmtId="3" fontId="0" fillId="5" borderId="1" xfId="0" applyNumberFormat="1" applyFill="1" applyBorder="1" applyAlignment="1">
      <alignment horizontal="right"/>
    </xf>
    <xf numFmtId="3" fontId="0" fillId="0" borderId="0" xfId="0" applyNumberFormat="1" applyFill="1" applyBorder="1" applyAlignment="1">
      <alignment horizontal="center"/>
    </xf>
    <xf numFmtId="0" fontId="18" fillId="0" borderId="0" xfId="0" applyFont="1" applyBorder="1" applyAlignment="1">
      <alignment horizontal="center"/>
    </xf>
    <xf numFmtId="3" fontId="1" fillId="0" borderId="0" xfId="0" applyNumberFormat="1" applyFont="1" applyBorder="1" applyAlignment="1">
      <alignment horizontal="center"/>
    </xf>
    <xf numFmtId="0" fontId="0" fillId="5" borderId="0" xfId="0" applyFill="1" applyBorder="1" applyAlignment="1">
      <alignment horizontal="center" wrapText="1"/>
    </xf>
    <xf numFmtId="0" fontId="5" fillId="5" borderId="0" xfId="0" applyFont="1" applyFill="1" applyBorder="1" applyAlignment="1" applyProtection="1">
      <alignment horizontal="center"/>
      <protection locked="0"/>
    </xf>
    <xf numFmtId="3" fontId="0" fillId="0" borderId="0"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0" xfId="0" applyNumberFormat="1" applyFill="1" applyBorder="1" applyAlignment="1">
      <alignment horizontal="left" vertical="center"/>
    </xf>
    <xf numFmtId="3" fontId="0" fillId="0" borderId="0" xfId="0" applyNumberFormat="1" applyFill="1" applyBorder="1" applyAlignment="1">
      <alignment horizontal="right" vertical="center"/>
    </xf>
    <xf numFmtId="3" fontId="0" fillId="0" borderId="0" xfId="0" applyNumberFormat="1" applyFill="1" applyAlignment="1" applyProtection="1">
      <alignment horizontal="center"/>
      <protection locked="0"/>
    </xf>
    <xf numFmtId="0" fontId="0" fillId="0" borderId="0" xfId="0" applyFill="1" applyAlignment="1" applyProtection="1">
      <alignment horizontal="left"/>
      <protection locked="0"/>
    </xf>
    <xf numFmtId="3" fontId="0" fillId="0" borderId="0" xfId="0" applyNumberFormat="1" applyBorder="1" applyAlignment="1" applyProtection="1">
      <alignment horizontal="left" wrapText="1"/>
      <protection locked="0"/>
    </xf>
    <xf numFmtId="0" fontId="0" fillId="0" borderId="0" xfId="0" applyFill="1" applyBorder="1" applyAlignment="1">
      <alignment horizontal="center" vertical="center" wrapText="1"/>
    </xf>
    <xf numFmtId="0" fontId="0" fillId="5" borderId="0" xfId="0" applyFill="1" applyBorder="1" applyAlignment="1" applyProtection="1">
      <alignment horizontal="center" wrapText="1"/>
      <protection locked="0"/>
    </xf>
    <xf numFmtId="3" fontId="0" fillId="4" borderId="3" xfId="0" applyNumberFormat="1" applyFill="1" applyBorder="1" applyAlignment="1" applyProtection="1">
      <alignment horizontal="center" wrapText="1"/>
      <protection locked="0"/>
    </xf>
    <xf numFmtId="0" fontId="0" fillId="4" borderId="5" xfId="0" applyFill="1" applyBorder="1" applyAlignment="1" applyProtection="1">
      <alignment horizontal="center" wrapText="1"/>
      <protection locked="0"/>
    </xf>
    <xf numFmtId="0" fontId="0" fillId="0" borderId="0" xfId="0" applyBorder="1"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10" borderId="0" xfId="0" applyFill="1" applyBorder="1" applyAlignment="1" applyProtection="1">
      <alignment horizontal="center" wrapText="1"/>
    </xf>
    <xf numFmtId="0" fontId="0" fillId="6" borderId="0" xfId="0" applyFill="1"/>
    <xf numFmtId="0" fontId="1" fillId="0" borderId="1" xfId="0" applyFont="1" applyFill="1" applyBorder="1" applyAlignment="1">
      <alignment horizontal="center" vertical="center"/>
    </xf>
    <xf numFmtId="0" fontId="0" fillId="0" borderId="2" xfId="0" applyFill="1" applyBorder="1" applyAlignment="1">
      <alignment horizontal="center" vertical="center"/>
    </xf>
    <xf numFmtId="3" fontId="0" fillId="5" borderId="0" xfId="0" applyNumberFormat="1" applyFill="1" applyBorder="1" applyAlignment="1">
      <alignment horizontal="right"/>
    </xf>
    <xf numFmtId="3" fontId="0" fillId="0" borderId="0" xfId="0" applyNumberFormat="1" applyBorder="1" applyAlignment="1">
      <alignment horizontal="center" wrapText="1"/>
    </xf>
    <xf numFmtId="0" fontId="0" fillId="0" borderId="0" xfId="0" applyFill="1" applyBorder="1" applyAlignment="1">
      <alignment horizontal="center" vertical="center"/>
    </xf>
    <xf numFmtId="0" fontId="0" fillId="0" borderId="0" xfId="0" applyFont="1" applyBorder="1" applyAlignment="1">
      <alignment horizontal="center" vertical="center" wrapText="1"/>
    </xf>
    <xf numFmtId="0" fontId="0" fillId="11" borderId="0" xfId="0" applyFill="1"/>
    <xf numFmtId="3" fontId="0" fillId="4" borderId="8" xfId="0" applyNumberFormat="1" applyFill="1" applyBorder="1" applyAlignment="1" applyProtection="1">
      <alignment horizontal="center"/>
      <protection locked="0"/>
    </xf>
    <xf numFmtId="0" fontId="0" fillId="10" borderId="0" xfId="0" applyFill="1"/>
    <xf numFmtId="0" fontId="0" fillId="10" borderId="0" xfId="0" applyFill="1" applyBorder="1"/>
    <xf numFmtId="0" fontId="0" fillId="0" borderId="0" xfId="0" applyFill="1" applyBorder="1" applyAlignment="1">
      <alignment wrapText="1"/>
    </xf>
    <xf numFmtId="0" fontId="0" fillId="5" borderId="7" xfId="0" applyFill="1" applyBorder="1" applyAlignment="1">
      <alignment horizontal="center"/>
    </xf>
    <xf numFmtId="0" fontId="0" fillId="5" borderId="10" xfId="0" applyFill="1" applyBorder="1" applyAlignment="1">
      <alignment horizontal="center"/>
    </xf>
    <xf numFmtId="3" fontId="5" fillId="0" borderId="9" xfId="0" applyNumberFormat="1" applyFont="1" applyFill="1" applyBorder="1" applyAlignment="1" applyProtection="1">
      <alignment horizontal="right" wrapText="1"/>
    </xf>
    <xf numFmtId="3" fontId="0" fillId="0" borderId="11" xfId="0" applyNumberFormat="1" applyFill="1" applyBorder="1" applyAlignment="1" applyProtection="1">
      <alignment horizontal="right" wrapText="1"/>
    </xf>
    <xf numFmtId="0" fontId="0" fillId="17" borderId="0" xfId="0" applyFill="1" applyAlignment="1" applyProtection="1">
      <alignment horizontal="center"/>
    </xf>
    <xf numFmtId="0" fontId="1" fillId="12" borderId="0" xfId="0" applyFont="1" applyFill="1" applyAlignment="1" applyProtection="1">
      <alignment horizontal="left"/>
    </xf>
    <xf numFmtId="0" fontId="0" fillId="12" borderId="0" xfId="0" applyFill="1" applyAlignment="1" applyProtection="1">
      <alignment horizontal="left"/>
    </xf>
    <xf numFmtId="0" fontId="0" fillId="12" borderId="0" xfId="0" applyFill="1" applyAlignment="1" applyProtection="1">
      <alignment horizontal="center"/>
    </xf>
    <xf numFmtId="0" fontId="1" fillId="15" borderId="0" xfId="0" applyFont="1" applyFill="1" applyAlignment="1" applyProtection="1">
      <alignment horizontal="left"/>
      <protection locked="0"/>
    </xf>
    <xf numFmtId="0" fontId="1" fillId="15" borderId="0" xfId="0" applyFont="1" applyFill="1" applyAlignment="1" applyProtection="1">
      <alignment horizontal="center"/>
      <protection locked="0"/>
    </xf>
    <xf numFmtId="0" fontId="3" fillId="15" borderId="0" xfId="0" applyFont="1" applyFill="1" applyAlignment="1" applyProtection="1">
      <alignment horizontal="center"/>
      <protection locked="0"/>
    </xf>
    <xf numFmtId="0" fontId="1" fillId="18" borderId="0" xfId="0" applyFont="1" applyFill="1" applyAlignment="1" applyProtection="1">
      <alignment horizontal="left"/>
      <protection locked="0"/>
    </xf>
    <xf numFmtId="0" fontId="0" fillId="18" borderId="0" xfId="0" applyFill="1" applyAlignment="1" applyProtection="1">
      <alignment horizontal="center"/>
      <protection locked="0"/>
    </xf>
    <xf numFmtId="0" fontId="2" fillId="18" borderId="0" xfId="0" applyFont="1" applyFill="1" applyAlignment="1" applyProtection="1">
      <alignment horizontal="center"/>
      <protection locked="0"/>
    </xf>
    <xf numFmtId="3" fontId="0" fillId="0" borderId="0" xfId="0" applyNumberFormat="1" applyBorder="1" applyAlignment="1" applyProtection="1">
      <alignment horizontal="left" wrapText="1"/>
      <protection locked="0"/>
    </xf>
    <xf numFmtId="3" fontId="0" fillId="0" borderId="0" xfId="0" applyNumberFormat="1" applyBorder="1" applyAlignment="1">
      <alignment horizontal="center" vertical="center" wrapText="1"/>
    </xf>
    <xf numFmtId="0" fontId="0" fillId="0" borderId="0" xfId="0" applyFill="1" applyBorder="1" applyAlignment="1">
      <alignment horizontal="center" vertical="center" wrapText="1"/>
    </xf>
    <xf numFmtId="0" fontId="1" fillId="19" borderId="0" xfId="0" applyFont="1" applyFill="1" applyAlignment="1" applyProtection="1">
      <alignment horizontal="left"/>
    </xf>
    <xf numFmtId="0" fontId="0" fillId="19" borderId="0" xfId="0" applyFill="1" applyAlignment="1" applyProtection="1">
      <alignment horizontal="center"/>
    </xf>
    <xf numFmtId="0" fontId="0" fillId="19" borderId="0" xfId="0" applyFill="1" applyAlignment="1" applyProtection="1">
      <alignment horizontal="left"/>
    </xf>
    <xf numFmtId="0" fontId="0" fillId="10" borderId="0" xfId="0" applyFill="1" applyBorder="1" applyAlignment="1" applyProtection="1">
      <alignment horizontal="center" wrapText="1"/>
    </xf>
    <xf numFmtId="1" fontId="22" fillId="5" borderId="10" xfId="0" applyNumberFormat="1" applyFont="1" applyFill="1" applyBorder="1" applyAlignment="1" applyProtection="1">
      <alignment horizontal="right"/>
    </xf>
    <xf numFmtId="0" fontId="22" fillId="5" borderId="11" xfId="0" applyFont="1" applyFill="1" applyBorder="1" applyAlignment="1" applyProtection="1">
      <alignment horizontal="left"/>
    </xf>
    <xf numFmtId="3" fontId="5" fillId="0" borderId="13" xfId="0" applyNumberFormat="1" applyFont="1" applyFill="1" applyBorder="1" applyAlignment="1">
      <alignment horizontal="center" wrapText="1"/>
    </xf>
    <xf numFmtId="3" fontId="0" fillId="0" borderId="2" xfId="0" applyNumberFormat="1" applyFill="1" applyBorder="1" applyAlignment="1">
      <alignment horizontal="center" wrapText="1"/>
    </xf>
    <xf numFmtId="3" fontId="0" fillId="0" borderId="13" xfId="0" applyNumberFormat="1" applyFill="1" applyBorder="1" applyAlignment="1">
      <alignment horizontal="center" wrapText="1"/>
    </xf>
    <xf numFmtId="3" fontId="0" fillId="0" borderId="14" xfId="0" applyNumberFormat="1" applyFill="1" applyBorder="1" applyAlignment="1">
      <alignment horizontal="center" wrapText="1"/>
    </xf>
    <xf numFmtId="0" fontId="27" fillId="0" borderId="1" xfId="0" applyFont="1" applyFill="1" applyBorder="1" applyAlignment="1">
      <alignment horizontal="center" wrapText="1"/>
    </xf>
    <xf numFmtId="0" fontId="0" fillId="0" borderId="7" xfId="0" applyFill="1" applyBorder="1" applyAlignment="1">
      <alignment horizontal="center"/>
    </xf>
    <xf numFmtId="0" fontId="0" fillId="0" borderId="10" xfId="0" applyFill="1" applyBorder="1" applyAlignment="1">
      <alignment horizontal="center"/>
    </xf>
    <xf numFmtId="3" fontId="5" fillId="0" borderId="8" xfId="0" applyNumberFormat="1" applyFont="1" applyFill="1" applyBorder="1" applyAlignment="1">
      <alignment horizontal="center" wrapText="1"/>
    </xf>
    <xf numFmtId="3" fontId="0" fillId="0" borderId="10" xfId="0" applyNumberFormat="1" applyFill="1" applyBorder="1" applyAlignment="1">
      <alignment horizontal="center" wrapText="1"/>
    </xf>
    <xf numFmtId="3" fontId="0" fillId="0" borderId="12" xfId="0" applyNumberFormat="1" applyFill="1" applyBorder="1" applyAlignment="1">
      <alignment horizontal="center" wrapText="1"/>
    </xf>
    <xf numFmtId="3" fontId="0" fillId="0" borderId="11" xfId="0" applyNumberFormat="1" applyFill="1" applyBorder="1" applyAlignment="1">
      <alignment horizontal="center" wrapText="1"/>
    </xf>
    <xf numFmtId="3" fontId="0" fillId="0" borderId="8" xfId="0" applyNumberFormat="1" applyFill="1" applyBorder="1" applyAlignment="1">
      <alignment horizontal="center" wrapText="1"/>
    </xf>
    <xf numFmtId="3" fontId="5" fillId="0" borderId="7" xfId="0" applyNumberFormat="1" applyFont="1" applyFill="1" applyBorder="1" applyAlignment="1">
      <alignment horizontal="right" wrapText="1"/>
    </xf>
    <xf numFmtId="3" fontId="0" fillId="0" borderId="7" xfId="0" applyNumberFormat="1" applyFill="1" applyBorder="1" applyAlignment="1">
      <alignment horizontal="right" wrapText="1"/>
    </xf>
    <xf numFmtId="3" fontId="27" fillId="0" borderId="9" xfId="0" applyNumberFormat="1" applyFont="1" applyFill="1" applyBorder="1" applyAlignment="1">
      <alignment horizontal="center" wrapText="1"/>
    </xf>
    <xf numFmtId="3" fontId="27" fillId="0" borderId="11" xfId="0" applyNumberFormat="1" applyFont="1" applyFill="1" applyBorder="1" applyAlignment="1">
      <alignment horizontal="center" wrapText="1"/>
    </xf>
    <xf numFmtId="3" fontId="20" fillId="5" borderId="12" xfId="0" applyNumberFormat="1" applyFont="1" applyFill="1" applyBorder="1" applyAlignment="1" applyProtection="1">
      <alignment horizontal="center" wrapText="1"/>
    </xf>
    <xf numFmtId="3" fontId="19" fillId="5" borderId="15" xfId="0" applyNumberFormat="1" applyFont="1" applyFill="1" applyBorder="1" applyAlignment="1" applyProtection="1">
      <alignment horizontal="center" wrapText="1"/>
    </xf>
    <xf numFmtId="3" fontId="19" fillId="0" borderId="11" xfId="0" applyNumberFormat="1" applyFont="1" applyFill="1" applyBorder="1" applyAlignment="1" applyProtection="1">
      <alignment horizontal="center" wrapText="1"/>
    </xf>
    <xf numFmtId="3" fontId="19" fillId="0" borderId="15" xfId="0" applyNumberFormat="1" applyFont="1" applyFill="1" applyBorder="1" applyAlignment="1" applyProtection="1">
      <alignment horizontal="center" wrapText="1"/>
    </xf>
    <xf numFmtId="0" fontId="1" fillId="6" borderId="0" xfId="0" applyFont="1" applyFill="1" applyAlignment="1" applyProtection="1">
      <alignment horizontal="left"/>
    </xf>
    <xf numFmtId="0" fontId="0" fillId="6" borderId="0" xfId="0" applyFill="1" applyAlignment="1" applyProtection="1">
      <alignment horizontal="left"/>
    </xf>
    <xf numFmtId="0" fontId="0" fillId="6" borderId="0" xfId="0" applyFill="1" applyAlignment="1" applyProtection="1">
      <alignment horizontal="center"/>
    </xf>
    <xf numFmtId="3" fontId="22" fillId="5" borderId="7" xfId="0" applyNumberFormat="1" applyFont="1" applyFill="1" applyBorder="1" applyAlignment="1" applyProtection="1">
      <alignment horizontal="right" wrapText="1"/>
    </xf>
    <xf numFmtId="3" fontId="20" fillId="5" borderId="10" xfId="0" applyNumberFormat="1" applyFont="1" applyFill="1" applyBorder="1" applyAlignment="1" applyProtection="1">
      <alignment horizontal="right" wrapText="1"/>
    </xf>
    <xf numFmtId="3" fontId="20" fillId="5" borderId="10" xfId="0" applyNumberFormat="1" applyFont="1" applyFill="1" applyBorder="1" applyAlignment="1" applyProtection="1">
      <alignment horizontal="right"/>
    </xf>
    <xf numFmtId="3" fontId="23" fillId="5" borderId="7" xfId="0" applyNumberFormat="1" applyFont="1" applyFill="1" applyBorder="1" applyAlignment="1" applyProtection="1">
      <alignment horizontal="right" wrapText="1"/>
    </xf>
    <xf numFmtId="3" fontId="23" fillId="5" borderId="6" xfId="0" applyNumberFormat="1" applyFont="1" applyFill="1" applyBorder="1" applyAlignment="1" applyProtection="1">
      <alignment horizontal="right" wrapText="1"/>
    </xf>
    <xf numFmtId="3" fontId="23" fillId="5" borderId="10" xfId="0" applyNumberFormat="1" applyFont="1" applyFill="1" applyBorder="1" applyAlignment="1" applyProtection="1">
      <alignment horizontal="right" wrapText="1"/>
    </xf>
    <xf numFmtId="0" fontId="20" fillId="5" borderId="0" xfId="0" applyFont="1" applyFill="1" applyBorder="1" applyAlignment="1" applyProtection="1">
      <alignment horizontal="right"/>
    </xf>
    <xf numFmtId="3" fontId="23" fillId="0" borderId="7" xfId="0" applyNumberFormat="1" applyFont="1" applyFill="1" applyBorder="1" applyAlignment="1" applyProtection="1">
      <alignment horizontal="right" wrapText="1"/>
    </xf>
    <xf numFmtId="3" fontId="23" fillId="0" borderId="6" xfId="0" applyNumberFormat="1" applyFont="1" applyFill="1" applyBorder="1" applyAlignment="1" applyProtection="1">
      <alignment horizontal="right" wrapText="1"/>
    </xf>
    <xf numFmtId="3" fontId="23" fillId="0" borderId="10" xfId="0" applyNumberFormat="1" applyFont="1" applyFill="1" applyBorder="1" applyAlignment="1" applyProtection="1">
      <alignment horizontal="right" wrapText="1"/>
    </xf>
    <xf numFmtId="0" fontId="0" fillId="0" borderId="0" xfId="0" applyBorder="1" applyAlignment="1">
      <alignment horizontal="center" wrapText="1"/>
    </xf>
    <xf numFmtId="3" fontId="0" fillId="0" borderId="0" xfId="0" applyNumberFormat="1" applyFill="1" applyBorder="1" applyAlignment="1" applyProtection="1">
      <alignment horizontal="left" wrapText="1"/>
    </xf>
    <xf numFmtId="0" fontId="0" fillId="0" borderId="15" xfId="0" applyFill="1" applyBorder="1" applyAlignment="1" applyProtection="1">
      <alignment horizontal="left"/>
    </xf>
    <xf numFmtId="0" fontId="0" fillId="0" borderId="8" xfId="0" applyFill="1" applyBorder="1" applyAlignment="1" applyProtection="1">
      <alignment horizontal="right" wrapText="1"/>
    </xf>
    <xf numFmtId="0" fontId="0" fillId="0" borderId="0" xfId="0" applyFill="1" applyBorder="1" applyAlignment="1" applyProtection="1">
      <alignment horizontal="center" wrapText="1"/>
    </xf>
    <xf numFmtId="3" fontId="5" fillId="0" borderId="8" xfId="0" applyNumberFormat="1" applyFont="1" applyFill="1" applyBorder="1" applyAlignment="1" applyProtection="1">
      <alignment horizontal="right" wrapText="1"/>
    </xf>
    <xf numFmtId="0" fontId="0" fillId="3" borderId="0" xfId="0" applyFill="1" applyBorder="1" applyAlignment="1" applyProtection="1">
      <alignment horizontal="right" wrapText="1"/>
    </xf>
    <xf numFmtId="0" fontId="0" fillId="0" borderId="12" xfId="0" applyFill="1" applyBorder="1" applyAlignment="1" applyProtection="1">
      <alignment horizontal="right" wrapText="1"/>
    </xf>
    <xf numFmtId="3" fontId="0" fillId="0" borderId="12" xfId="0" applyNumberFormat="1" applyFill="1" applyBorder="1" applyAlignment="1" applyProtection="1">
      <alignment horizontal="left" wrapText="1"/>
    </xf>
    <xf numFmtId="0" fontId="0" fillId="0" borderId="11" xfId="0" applyFill="1" applyBorder="1" applyAlignment="1" applyProtection="1">
      <alignment horizontal="left"/>
    </xf>
    <xf numFmtId="0" fontId="0" fillId="10" borderId="0" xfId="0" applyFill="1" applyBorder="1" applyAlignment="1" applyProtection="1">
      <alignment horizontal="center" wrapText="1"/>
    </xf>
    <xf numFmtId="0" fontId="0" fillId="0" borderId="0" xfId="0" applyFont="1" applyFill="1" applyBorder="1" applyAlignment="1" applyProtection="1">
      <alignment horizontal="center" wrapText="1"/>
    </xf>
    <xf numFmtId="0" fontId="0"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right" wrapText="1"/>
    </xf>
    <xf numFmtId="3" fontId="0" fillId="0" borderId="12" xfId="0" applyNumberFormat="1" applyFill="1" applyBorder="1" applyAlignment="1" applyProtection="1">
      <alignment horizontal="center" wrapText="1"/>
    </xf>
    <xf numFmtId="0" fontId="0" fillId="0" borderId="0" xfId="0" applyBorder="1" applyAlignment="1">
      <alignment horizontal="left"/>
    </xf>
    <xf numFmtId="2" fontId="0" fillId="0" borderId="0" xfId="0" applyNumberFormat="1" applyFill="1" applyBorder="1" applyAlignment="1" applyProtection="1">
      <alignment horizontal="center"/>
    </xf>
    <xf numFmtId="2" fontId="0" fillId="10" borderId="6" xfId="0" applyNumberFormat="1" applyFill="1" applyBorder="1" applyAlignment="1" applyProtection="1">
      <alignment horizontal="center"/>
    </xf>
    <xf numFmtId="0" fontId="10" fillId="10" borderId="0" xfId="0" applyFont="1" applyFill="1" applyBorder="1" applyAlignment="1" applyProtection="1">
      <alignment horizontal="center"/>
    </xf>
    <xf numFmtId="3" fontId="5" fillId="10" borderId="6" xfId="0" applyNumberFormat="1" applyFont="1" applyFill="1" applyBorder="1" applyAlignment="1" applyProtection="1">
      <alignment horizontal="center"/>
    </xf>
    <xf numFmtId="3" fontId="0" fillId="10" borderId="6" xfId="0" applyNumberFormat="1" applyFill="1" applyBorder="1" applyAlignment="1" applyProtection="1">
      <alignment horizontal="center"/>
    </xf>
    <xf numFmtId="3" fontId="5" fillId="0" borderId="0" xfId="0" applyNumberFormat="1" applyFont="1" applyFill="1" applyBorder="1" applyAlignment="1" applyProtection="1">
      <alignment horizontal="center"/>
    </xf>
    <xf numFmtId="0" fontId="0" fillId="0" borderId="0" xfId="0" applyFill="1" applyBorder="1" applyAlignment="1">
      <alignment horizontal="left"/>
    </xf>
    <xf numFmtId="164" fontId="2" fillId="2" borderId="12" xfId="0" applyNumberFormat="1" applyFont="1" applyFill="1" applyBorder="1" applyAlignment="1">
      <alignment horizontal="center"/>
    </xf>
    <xf numFmtId="164" fontId="2" fillId="2" borderId="11" xfId="0" applyNumberFormat="1" applyFont="1" applyFill="1" applyBorder="1" applyAlignment="1">
      <alignment horizontal="center"/>
    </xf>
    <xf numFmtId="1" fontId="2" fillId="2" borderId="10" xfId="0" applyNumberFormat="1" applyFont="1" applyFill="1" applyBorder="1" applyAlignment="1">
      <alignment horizontal="right" wrapText="1"/>
    </xf>
    <xf numFmtId="1" fontId="2" fillId="2" borderId="6" xfId="0" applyNumberFormat="1" applyFont="1" applyFill="1" applyBorder="1" applyAlignment="1">
      <alignment horizontal="right" wrapText="1"/>
    </xf>
    <xf numFmtId="0" fontId="30" fillId="10" borderId="0" xfId="0" applyFont="1" applyFill="1" applyBorder="1" applyAlignment="1" applyProtection="1">
      <alignment horizontal="center" vertical="center" wrapText="1"/>
    </xf>
    <xf numFmtId="0" fontId="0" fillId="0" borderId="6" xfId="0" applyFill="1" applyBorder="1" applyAlignment="1">
      <alignment horizontal="center" vertical="center" wrapText="1"/>
    </xf>
    <xf numFmtId="3" fontId="0" fillId="0" borderId="6" xfId="0" applyNumberFormat="1" applyFill="1" applyBorder="1" applyAlignment="1">
      <alignment horizontal="center" vertical="center" wrapText="1"/>
    </xf>
    <xf numFmtId="0" fontId="1" fillId="0" borderId="6" xfId="0" applyFont="1" applyFill="1" applyBorder="1" applyAlignment="1">
      <alignment horizontal="center"/>
    </xf>
    <xf numFmtId="0" fontId="0" fillId="0" borderId="9" xfId="0" applyFill="1" applyBorder="1" applyAlignment="1" applyProtection="1">
      <alignment horizontal="left"/>
    </xf>
    <xf numFmtId="0" fontId="0" fillId="5" borderId="0" xfId="0" applyFill="1" applyBorder="1" applyAlignment="1" applyProtection="1">
      <alignment horizontal="center"/>
    </xf>
    <xf numFmtId="0" fontId="0" fillId="0" borderId="0" xfId="0" applyFont="1" applyFill="1" applyBorder="1" applyAlignment="1" applyProtection="1">
      <alignment horizontal="center" vertical="center"/>
    </xf>
    <xf numFmtId="0" fontId="26" fillId="0" borderId="0" xfId="0" applyFont="1" applyFill="1" applyBorder="1" applyAlignment="1" applyProtection="1">
      <alignment horizontal="right"/>
    </xf>
    <xf numFmtId="164" fontId="1" fillId="0" borderId="0" xfId="0" applyNumberFormat="1" applyFont="1" applyFill="1" applyBorder="1" applyAlignment="1" applyProtection="1">
      <alignment horizontal="left"/>
    </xf>
    <xf numFmtId="166" fontId="1" fillId="0" borderId="0" xfId="0" applyNumberFormat="1" applyFont="1" applyFill="1" applyBorder="1" applyAlignment="1" applyProtection="1">
      <alignment horizontal="left"/>
    </xf>
    <xf numFmtId="0" fontId="1" fillId="0" borderId="15" xfId="0" applyFont="1" applyFill="1" applyBorder="1" applyAlignment="1" applyProtection="1">
      <alignment horizontal="left"/>
    </xf>
    <xf numFmtId="0" fontId="0" fillId="10" borderId="0" xfId="0" applyFont="1" applyFill="1" applyBorder="1" applyAlignment="1" applyProtection="1">
      <alignment horizontal="center"/>
    </xf>
    <xf numFmtId="0" fontId="0" fillId="0" borderId="1" xfId="0" applyFont="1" applyFill="1" applyBorder="1" applyAlignment="1" applyProtection="1">
      <alignment horizontal="center"/>
    </xf>
    <xf numFmtId="0" fontId="1" fillId="19" borderId="0" xfId="0" applyFont="1" applyFill="1" applyBorder="1" applyAlignment="1" applyProtection="1">
      <alignment horizontal="left"/>
    </xf>
    <xf numFmtId="165" fontId="0" fillId="0" borderId="0" xfId="0" applyNumberFormat="1" applyFill="1" applyBorder="1" applyAlignment="1" applyProtection="1">
      <alignment horizontal="left" wrapText="1"/>
    </xf>
    <xf numFmtId="0" fontId="0" fillId="0" borderId="0" xfId="0" applyBorder="1" applyAlignment="1">
      <alignment horizontal="left" wrapText="1"/>
    </xf>
    <xf numFmtId="0" fontId="0" fillId="0" borderId="15" xfId="0" applyFont="1" applyFill="1" applyBorder="1" applyAlignment="1" applyProtection="1">
      <alignment horizontal="center" wrapText="1"/>
    </xf>
    <xf numFmtId="3" fontId="0" fillId="0" borderId="0" xfId="0" applyNumberFormat="1" applyBorder="1" applyAlignment="1">
      <alignment horizontal="left" wrapText="1"/>
    </xf>
    <xf numFmtId="0" fontId="27" fillId="4" borderId="13" xfId="0" applyFont="1" applyFill="1" applyBorder="1" applyAlignment="1">
      <alignment horizontal="center" vertical="center"/>
    </xf>
    <xf numFmtId="0" fontId="27" fillId="4" borderId="14" xfId="0" applyFont="1" applyFill="1" applyBorder="1" applyAlignment="1">
      <alignment horizontal="center" vertical="center"/>
    </xf>
    <xf numFmtId="0" fontId="27" fillId="4" borderId="2" xfId="0" applyFont="1" applyFill="1" applyBorder="1" applyAlignment="1">
      <alignment horizontal="center" vertical="center"/>
    </xf>
    <xf numFmtId="0" fontId="0" fillId="0" borderId="0" xfId="0" applyFont="1" applyFill="1" applyBorder="1" applyAlignment="1" applyProtection="1">
      <alignment horizontal="left"/>
    </xf>
    <xf numFmtId="0" fontId="29" fillId="0" borderId="6" xfId="0" applyFont="1" applyFill="1" applyBorder="1" applyAlignment="1" applyProtection="1">
      <alignment horizontal="center" vertical="center"/>
    </xf>
    <xf numFmtId="0" fontId="29" fillId="0" borderId="0" xfId="0" applyFont="1" applyBorder="1" applyAlignment="1">
      <alignment horizontal="center" vertical="center"/>
    </xf>
    <xf numFmtId="0" fontId="29" fillId="0" borderId="6" xfId="0" applyFont="1" applyBorder="1" applyAlignment="1">
      <alignment horizontal="center" vertical="center"/>
    </xf>
    <xf numFmtId="0" fontId="2" fillId="0" borderId="0" xfId="0" applyFont="1" applyFill="1" applyBorder="1" applyAlignment="1" applyProtection="1">
      <alignment horizontal="center" wrapText="1"/>
    </xf>
    <xf numFmtId="3" fontId="0" fillId="0" borderId="0" xfId="0" applyNumberFormat="1" applyFont="1" applyFill="1" applyBorder="1" applyAlignment="1" applyProtection="1">
      <alignment horizontal="center" wrapText="1"/>
    </xf>
    <xf numFmtId="0" fontId="0" fillId="0" borderId="0" xfId="0"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left" vertical="center" wrapText="1"/>
    </xf>
    <xf numFmtId="3" fontId="0" fillId="0" borderId="11" xfId="0" applyNumberFormat="1" applyFill="1" applyBorder="1" applyAlignment="1" applyProtection="1">
      <alignment horizontal="center" wrapText="1"/>
    </xf>
    <xf numFmtId="3" fontId="0" fillId="0" borderId="17" xfId="0" applyNumberFormat="1" applyFill="1" applyBorder="1" applyAlignment="1" applyProtection="1">
      <alignment horizontal="center" wrapText="1"/>
    </xf>
    <xf numFmtId="3" fontId="0" fillId="0" borderId="16" xfId="0" applyNumberFormat="1" applyFill="1" applyBorder="1" applyAlignment="1" applyProtection="1">
      <alignment horizontal="center" wrapText="1"/>
    </xf>
    <xf numFmtId="0" fontId="20" fillId="0" borderId="0" xfId="0" applyFont="1" applyAlignment="1">
      <alignment horizontal="center"/>
    </xf>
    <xf numFmtId="0" fontId="1" fillId="4" borderId="1" xfId="0" applyFont="1" applyFill="1" applyBorder="1" applyAlignment="1">
      <alignment horizontal="center"/>
    </xf>
    <xf numFmtId="3" fontId="1" fillId="0" borderId="13" xfId="0" applyNumberFormat="1" applyFont="1" applyBorder="1" applyAlignment="1">
      <alignment horizontal="center"/>
    </xf>
    <xf numFmtId="3" fontId="1" fillId="0" borderId="14" xfId="0" applyNumberFormat="1" applyFont="1" applyBorder="1" applyAlignment="1">
      <alignment horizontal="center"/>
    </xf>
    <xf numFmtId="3" fontId="0" fillId="0" borderId="0" xfId="0" applyNumberFormat="1"/>
    <xf numFmtId="0" fontId="0" fillId="0" borderId="12" xfId="0" applyBorder="1" applyAlignment="1">
      <alignment horizontal="center"/>
    </xf>
    <xf numFmtId="3" fontId="1" fillId="0" borderId="2" xfId="0" applyNumberFormat="1" applyFont="1" applyFill="1" applyBorder="1" applyAlignment="1">
      <alignment horizontal="center"/>
    </xf>
    <xf numFmtId="0" fontId="38" fillId="0" borderId="6" xfId="0" applyFont="1" applyFill="1" applyBorder="1" applyAlignment="1">
      <alignment horizontal="center"/>
    </xf>
    <xf numFmtId="0" fontId="38" fillId="0" borderId="0" xfId="0" applyFont="1" applyFill="1" applyBorder="1" applyAlignment="1">
      <alignment horizontal="center"/>
    </xf>
    <xf numFmtId="0" fontId="38" fillId="0" borderId="7" xfId="0" applyFont="1" applyFill="1" applyBorder="1" applyAlignment="1">
      <alignment horizontal="center" wrapText="1"/>
    </xf>
    <xf numFmtId="0" fontId="38" fillId="0" borderId="8" xfId="0" applyFont="1" applyFill="1" applyBorder="1" applyAlignment="1">
      <alignment horizontal="center" wrapText="1"/>
    </xf>
    <xf numFmtId="0" fontId="38" fillId="0" borderId="6" xfId="0" applyFont="1" applyFill="1" applyBorder="1" applyAlignment="1">
      <alignment horizontal="center" wrapText="1"/>
    </xf>
    <xf numFmtId="0" fontId="38" fillId="0" borderId="0" xfId="0" applyFont="1" applyFill="1" applyBorder="1" applyAlignment="1">
      <alignment horizontal="center" wrapText="1"/>
    </xf>
    <xf numFmtId="0" fontId="39" fillId="0" borderId="6" xfId="0" applyFont="1" applyBorder="1" applyAlignment="1">
      <alignment horizontal="center"/>
    </xf>
    <xf numFmtId="0" fontId="39" fillId="0" borderId="0" xfId="0" applyFont="1" applyBorder="1" applyAlignment="1">
      <alignment horizontal="center"/>
    </xf>
    <xf numFmtId="0" fontId="38" fillId="0" borderId="10" xfId="0" applyFont="1" applyFill="1" applyBorder="1" applyAlignment="1">
      <alignment horizontal="center" wrapText="1"/>
    </xf>
    <xf numFmtId="0" fontId="38" fillId="0" borderId="12" xfId="0" applyFont="1" applyFill="1" applyBorder="1" applyAlignment="1">
      <alignment horizontal="center" wrapText="1"/>
    </xf>
    <xf numFmtId="3" fontId="0" fillId="4" borderId="3" xfId="0" applyNumberFormat="1" applyFont="1" applyFill="1" applyBorder="1" applyAlignment="1" applyProtection="1">
      <alignment horizontal="center"/>
      <protection locked="0"/>
    </xf>
    <xf numFmtId="3" fontId="0" fillId="4" borderId="1" xfId="0" applyNumberFormat="1" applyFont="1" applyFill="1" applyBorder="1" applyAlignment="1" applyProtection="1">
      <alignment horizontal="center"/>
      <protection locked="0"/>
    </xf>
    <xf numFmtId="3" fontId="0" fillId="0" borderId="0" xfId="0" applyNumberFormat="1" applyAlignment="1" applyProtection="1">
      <alignment horizontal="center"/>
      <protection locked="0"/>
    </xf>
    <xf numFmtId="0" fontId="0" fillId="10" borderId="0" xfId="0" applyFill="1" applyBorder="1" applyAlignment="1" applyProtection="1">
      <alignment horizontal="center" wrapText="1"/>
    </xf>
    <xf numFmtId="3" fontId="5" fillId="0" borderId="14" xfId="0" applyNumberFormat="1" applyFont="1" applyFill="1" applyBorder="1" applyAlignment="1">
      <alignment horizontal="center" wrapText="1"/>
    </xf>
    <xf numFmtId="3" fontId="0" fillId="0" borderId="15" xfId="0" applyNumberFormat="1" applyFill="1" applyBorder="1" applyAlignment="1" applyProtection="1">
      <alignment horizontal="right" wrapText="1"/>
    </xf>
    <xf numFmtId="3" fontId="0" fillId="0" borderId="10" xfId="0" applyNumberFormat="1" applyFill="1" applyBorder="1" applyAlignment="1">
      <alignment horizontal="center" vertical="center" wrapText="1"/>
    </xf>
    <xf numFmtId="0" fontId="1" fillId="0" borderId="0" xfId="0" applyFont="1" applyFill="1" applyAlignment="1" applyProtection="1">
      <alignment horizontal="left"/>
    </xf>
    <xf numFmtId="0" fontId="0" fillId="0" borderId="13" xfId="0" applyFill="1" applyBorder="1" applyAlignment="1">
      <alignment horizontal="center"/>
    </xf>
    <xf numFmtId="0" fontId="0" fillId="0" borderId="14" xfId="0" applyFill="1" applyBorder="1" applyAlignment="1">
      <alignment horizontal="center"/>
    </xf>
    <xf numFmtId="0" fontId="0" fillId="0" borderId="2" xfId="0" applyFill="1" applyBorder="1" applyAlignment="1">
      <alignment horizontal="center"/>
    </xf>
    <xf numFmtId="3" fontId="5" fillId="0" borderId="2" xfId="0" applyNumberFormat="1" applyFont="1" applyFill="1" applyBorder="1" applyAlignment="1">
      <alignment horizontal="center" wrapText="1"/>
    </xf>
    <xf numFmtId="0" fontId="0" fillId="0" borderId="0" xfId="0" applyFill="1" applyBorder="1" applyAlignment="1">
      <alignment horizontal="center" wrapText="1"/>
    </xf>
    <xf numFmtId="3" fontId="40" fillId="0" borderId="9" xfId="0" applyNumberFormat="1" applyFont="1" applyFill="1" applyBorder="1" applyAlignment="1" applyProtection="1">
      <alignment horizontal="right" wrapText="1"/>
    </xf>
    <xf numFmtId="3" fontId="1" fillId="0" borderId="0" xfId="0" applyNumberFormat="1" applyFont="1" applyFill="1" applyBorder="1" applyAlignment="1">
      <alignment horizontal="center" vertical="center" wrapText="1"/>
    </xf>
    <xf numFmtId="0" fontId="1" fillId="0" borderId="0" xfId="0" applyFont="1" applyBorder="1" applyAlignment="1">
      <alignment horizontal="center"/>
    </xf>
    <xf numFmtId="3" fontId="1" fillId="0" borderId="11" xfId="0" applyNumberFormat="1" applyFont="1" applyFill="1" applyBorder="1" applyAlignment="1" applyProtection="1">
      <alignment horizontal="right" wrapText="1"/>
    </xf>
    <xf numFmtId="3" fontId="1" fillId="0" borderId="13" xfId="0" applyNumberFormat="1" applyFont="1" applyFill="1" applyBorder="1" applyAlignment="1">
      <alignment horizontal="center" wrapText="1"/>
    </xf>
    <xf numFmtId="3" fontId="1" fillId="0" borderId="2" xfId="0" applyNumberFormat="1" applyFont="1" applyFill="1" applyBorder="1" applyAlignment="1">
      <alignment horizontal="center" wrapText="1"/>
    </xf>
    <xf numFmtId="3" fontId="0" fillId="0" borderId="0" xfId="0" applyNumberFormat="1" applyFill="1" applyBorder="1" applyAlignment="1">
      <alignment horizontal="center" wrapText="1"/>
    </xf>
    <xf numFmtId="3" fontId="1" fillId="0" borderId="0" xfId="0" applyNumberFormat="1" applyFont="1" applyFill="1" applyBorder="1" applyAlignment="1" applyProtection="1">
      <alignment horizontal="right" wrapText="1"/>
    </xf>
    <xf numFmtId="3" fontId="1" fillId="0" borderId="0" xfId="0" applyNumberFormat="1" applyFont="1" applyFill="1" applyBorder="1" applyAlignment="1">
      <alignment horizontal="center" wrapText="1"/>
    </xf>
    <xf numFmtId="3" fontId="1" fillId="0" borderId="9" xfId="0" applyNumberFormat="1" applyFont="1" applyFill="1" applyBorder="1" applyAlignment="1">
      <alignment horizontal="center" wrapText="1"/>
    </xf>
    <xf numFmtId="3" fontId="1" fillId="0" borderId="10" xfId="0" applyNumberFormat="1" applyFont="1" applyFill="1" applyBorder="1" applyAlignment="1">
      <alignment horizontal="center" vertical="center" wrapText="1"/>
    </xf>
    <xf numFmtId="0" fontId="1" fillId="0" borderId="12" xfId="0" applyFont="1" applyBorder="1" applyAlignment="1">
      <alignment horizontal="center"/>
    </xf>
    <xf numFmtId="3" fontId="1" fillId="0" borderId="11" xfId="0" applyNumberFormat="1" applyFont="1" applyFill="1" applyBorder="1" applyAlignment="1">
      <alignment horizontal="center" wrapText="1"/>
    </xf>
    <xf numFmtId="3" fontId="1" fillId="0" borderId="12" xfId="0" applyNumberFormat="1" applyFont="1" applyFill="1" applyBorder="1" applyAlignment="1">
      <alignment horizontal="center" vertical="center" wrapText="1"/>
    </xf>
    <xf numFmtId="0" fontId="1" fillId="0" borderId="0" xfId="0" applyFont="1" applyFill="1" applyBorder="1" applyAlignment="1" applyProtection="1">
      <alignment horizontal="left"/>
    </xf>
    <xf numFmtId="0" fontId="0" fillId="5" borderId="0" xfId="0" applyFill="1" applyBorder="1" applyAlignment="1" applyProtection="1">
      <alignment horizontal="center" wrapText="1"/>
      <protection locked="0"/>
    </xf>
    <xf numFmtId="3" fontId="0" fillId="0" borderId="0" xfId="0" applyNumberFormat="1" applyBorder="1" applyAlignment="1">
      <alignment horizontal="center" vertical="center" wrapText="1"/>
    </xf>
    <xf numFmtId="0" fontId="0" fillId="0" borderId="0" xfId="0" applyFill="1" applyBorder="1" applyAlignment="1">
      <alignment horizontal="center" vertical="center" wrapText="1"/>
    </xf>
    <xf numFmtId="3" fontId="0" fillId="0" borderId="0" xfId="0" applyNumberFormat="1" applyFill="1" applyBorder="1" applyAlignment="1" applyProtection="1">
      <alignment horizontal="left" wrapText="1"/>
    </xf>
    <xf numFmtId="0" fontId="0" fillId="0" borderId="0" xfId="0" applyFill="1" applyBorder="1" applyAlignment="1" applyProtection="1">
      <alignment horizontal="right" wrapText="1"/>
    </xf>
    <xf numFmtId="0" fontId="0" fillId="0" borderId="8" xfId="0" applyFill="1" applyBorder="1" applyAlignment="1" applyProtection="1">
      <alignment horizontal="right" wrapText="1"/>
    </xf>
    <xf numFmtId="0" fontId="0" fillId="0" borderId="0" xfId="0" applyFill="1" applyBorder="1" applyAlignment="1" applyProtection="1">
      <alignment horizontal="center" wrapText="1"/>
    </xf>
    <xf numFmtId="3" fontId="0" fillId="0" borderId="0" xfId="0" applyNumberFormat="1" applyFill="1" applyBorder="1" applyAlignment="1">
      <alignment horizontal="center" vertical="center" wrapText="1"/>
    </xf>
    <xf numFmtId="0" fontId="0" fillId="20" borderId="0" xfId="0" applyFill="1" applyAlignment="1" applyProtection="1">
      <alignment horizontal="center"/>
    </xf>
    <xf numFmtId="0" fontId="0" fillId="20" borderId="0" xfId="0" applyFill="1" applyBorder="1" applyAlignment="1" applyProtection="1">
      <alignment horizontal="center"/>
    </xf>
    <xf numFmtId="0" fontId="2" fillId="20" borderId="0" xfId="0" applyFont="1" applyFill="1" applyBorder="1" applyAlignment="1" applyProtection="1">
      <alignment horizontal="center"/>
    </xf>
    <xf numFmtId="0" fontId="0" fillId="10" borderId="0" xfId="0" applyFill="1" applyBorder="1" applyAlignment="1">
      <alignment horizontal="center" wrapText="1"/>
    </xf>
    <xf numFmtId="3" fontId="1" fillId="0" borderId="7" xfId="0" applyNumberFormat="1" applyFont="1" applyFill="1" applyBorder="1" applyAlignment="1">
      <alignment horizontal="center" wrapText="1"/>
    </xf>
    <xf numFmtId="3" fontId="1" fillId="0" borderId="10" xfId="0" applyNumberFormat="1" applyFont="1" applyFill="1" applyBorder="1" applyAlignment="1">
      <alignment horizontal="center" wrapText="1"/>
    </xf>
    <xf numFmtId="0" fontId="41" fillId="0" borderId="9" xfId="0" applyFont="1" applyFill="1" applyBorder="1" applyAlignment="1">
      <alignment horizontal="left" wrapText="1"/>
    </xf>
    <xf numFmtId="0" fontId="41" fillId="0" borderId="11" xfId="0" applyFont="1" applyFill="1" applyBorder="1" applyAlignment="1">
      <alignment horizontal="left" wrapText="1"/>
    </xf>
    <xf numFmtId="3" fontId="1" fillId="0" borderId="6" xfId="0" applyNumberFormat="1" applyFont="1" applyFill="1" applyBorder="1" applyAlignment="1">
      <alignment horizontal="center" wrapText="1"/>
    </xf>
    <xf numFmtId="0" fontId="41" fillId="0" borderId="15" xfId="0" applyFont="1" applyFill="1" applyBorder="1" applyAlignment="1">
      <alignment horizontal="left" wrapText="1"/>
    </xf>
    <xf numFmtId="0" fontId="0" fillId="4" borderId="3" xfId="0" applyFill="1" applyBorder="1" applyAlignment="1" applyProtection="1">
      <alignment horizontal="center"/>
      <protection locked="0"/>
    </xf>
    <xf numFmtId="3" fontId="0" fillId="0" borderId="7" xfId="0" applyNumberFormat="1" applyFill="1" applyBorder="1" applyAlignment="1">
      <alignment horizontal="center" wrapText="1"/>
    </xf>
    <xf numFmtId="3" fontId="0" fillId="0" borderId="6" xfId="0" applyNumberFormat="1" applyFill="1" applyBorder="1" applyAlignment="1">
      <alignment horizontal="center" wrapText="1"/>
    </xf>
    <xf numFmtId="0" fontId="1" fillId="21" borderId="0" xfId="0" applyFont="1" applyFill="1" applyAlignment="1" applyProtection="1">
      <alignment horizontal="left"/>
      <protection locked="0"/>
    </xf>
    <xf numFmtId="0" fontId="0" fillId="21" borderId="0" xfId="0" applyFill="1" applyAlignment="1" applyProtection="1">
      <alignment horizontal="center"/>
      <protection locked="0"/>
    </xf>
    <xf numFmtId="0" fontId="2" fillId="21" borderId="0" xfId="0" applyFont="1" applyFill="1" applyAlignment="1" applyProtection="1">
      <alignment horizontal="center"/>
      <protection locked="0"/>
    </xf>
    <xf numFmtId="0" fontId="20" fillId="21" borderId="0" xfId="0" applyFont="1" applyFill="1" applyAlignment="1" applyProtection="1">
      <alignment horizontal="center"/>
      <protection locked="0"/>
    </xf>
    <xf numFmtId="0" fontId="43" fillId="0" borderId="0" xfId="0" applyFont="1" applyFill="1"/>
    <xf numFmtId="0" fontId="0" fillId="12" borderId="0" xfId="0" applyFont="1" applyFill="1" applyAlignment="1" applyProtection="1">
      <alignment horizontal="left"/>
    </xf>
    <xf numFmtId="0" fontId="0" fillId="6" borderId="0" xfId="0" applyFont="1" applyFill="1" applyAlignment="1" applyProtection="1">
      <alignment horizontal="left"/>
    </xf>
    <xf numFmtId="0" fontId="1" fillId="0" borderId="0" xfId="0" applyFont="1" applyFill="1" applyAlignment="1">
      <alignment horizontal="center"/>
    </xf>
    <xf numFmtId="0" fontId="42" fillId="0" borderId="0" xfId="0" applyFont="1"/>
    <xf numFmtId="0" fontId="0" fillId="5" borderId="0" xfId="0" applyFill="1" applyAlignment="1">
      <alignment horizontal="center"/>
    </xf>
    <xf numFmtId="0" fontId="44" fillId="0" borderId="0" xfId="0" applyFont="1" applyFill="1"/>
    <xf numFmtId="9" fontId="0" fillId="0" borderId="0" xfId="0" applyNumberFormat="1" applyFill="1" applyBorder="1" applyAlignment="1" applyProtection="1">
      <alignment horizontal="center" wrapText="1"/>
    </xf>
    <xf numFmtId="9" fontId="0" fillId="0" borderId="0" xfId="0" applyNumberFormat="1" applyBorder="1" applyAlignment="1">
      <alignment horizontal="left" wrapText="1"/>
    </xf>
    <xf numFmtId="9" fontId="0" fillId="4" borderId="0" xfId="0" applyNumberFormat="1" applyFill="1" applyAlignment="1" applyProtection="1">
      <alignment horizontal="center"/>
      <protection locked="0"/>
    </xf>
    <xf numFmtId="0" fontId="0" fillId="0" borderId="12" xfId="0" applyFill="1" applyBorder="1" applyAlignment="1">
      <alignment horizontal="center"/>
    </xf>
    <xf numFmtId="0" fontId="27" fillId="4" borderId="8" xfId="0" applyFont="1" applyFill="1" applyBorder="1" applyAlignment="1">
      <alignment horizontal="center" vertical="center"/>
    </xf>
    <xf numFmtId="0" fontId="27" fillId="4" borderId="0" xfId="0" applyFont="1" applyFill="1" applyBorder="1" applyAlignment="1">
      <alignment horizontal="center" vertical="center"/>
    </xf>
    <xf numFmtId="0" fontId="27" fillId="4" borderId="12" xfId="0" applyFont="1" applyFill="1" applyBorder="1" applyAlignment="1">
      <alignment horizontal="center" vertical="center"/>
    </xf>
    <xf numFmtId="0" fontId="0" fillId="0" borderId="15" xfId="0" applyFill="1" applyBorder="1" applyAlignment="1" applyProtection="1">
      <alignment horizontal="left"/>
    </xf>
    <xf numFmtId="0" fontId="0" fillId="0" borderId="12" xfId="0" applyFill="1" applyBorder="1" applyAlignment="1" applyProtection="1">
      <alignment horizontal="right" wrapText="1"/>
    </xf>
    <xf numFmtId="3" fontId="0" fillId="0" borderId="12" xfId="0" applyNumberFormat="1" applyFill="1" applyBorder="1" applyAlignment="1" applyProtection="1">
      <alignment horizontal="left" wrapText="1"/>
    </xf>
    <xf numFmtId="0" fontId="0" fillId="0" borderId="11" xfId="0" applyFill="1" applyBorder="1" applyAlignment="1" applyProtection="1">
      <alignment horizontal="left"/>
    </xf>
    <xf numFmtId="0" fontId="0" fillId="0" borderId="8" xfId="0" applyFill="1" applyBorder="1" applyAlignment="1" applyProtection="1">
      <alignment horizontal="right" wrapText="1"/>
    </xf>
    <xf numFmtId="3" fontId="5" fillId="0" borderId="8" xfId="0" applyNumberFormat="1" applyFont="1" applyFill="1" applyBorder="1" applyAlignment="1" applyProtection="1">
      <alignment horizontal="right" wrapText="1"/>
    </xf>
    <xf numFmtId="0" fontId="0" fillId="10" borderId="0" xfId="0" applyFill="1" applyBorder="1" applyAlignment="1" applyProtection="1">
      <alignment horizontal="center" wrapText="1"/>
    </xf>
    <xf numFmtId="0" fontId="0" fillId="0" borderId="12" xfId="0" applyBorder="1" applyAlignment="1" applyProtection="1">
      <alignment horizontal="center" wrapText="1"/>
      <protection locked="0"/>
    </xf>
    <xf numFmtId="0" fontId="0" fillId="0" borderId="11" xfId="0" applyBorder="1" applyAlignment="1" applyProtection="1">
      <alignment horizontal="center" wrapText="1"/>
      <protection locked="0"/>
    </xf>
    <xf numFmtId="3" fontId="0" fillId="0" borderId="0" xfId="0" applyNumberFormat="1" applyBorder="1" applyAlignment="1" applyProtection="1">
      <alignment horizontal="left" wrapText="1"/>
      <protection locked="0"/>
    </xf>
    <xf numFmtId="0" fontId="0" fillId="0" borderId="0" xfId="0" applyBorder="1" applyAlignment="1" applyProtection="1">
      <alignment horizontal="right" wrapText="1"/>
      <protection locked="0"/>
    </xf>
    <xf numFmtId="0" fontId="0" fillId="0" borderId="0" xfId="0" applyFill="1" applyBorder="1" applyAlignment="1">
      <alignment horizontal="center" vertical="center" wrapText="1"/>
    </xf>
    <xf numFmtId="0" fontId="0" fillId="0" borderId="0" xfId="0" applyBorder="1" applyAlignment="1">
      <alignment horizontal="center" vertical="center" wrapText="1"/>
    </xf>
    <xf numFmtId="3" fontId="0" fillId="0" borderId="12" xfId="0" applyNumberFormat="1" applyFill="1" applyBorder="1" applyAlignment="1">
      <alignment horizontal="center" vertical="center" wrapText="1"/>
    </xf>
    <xf numFmtId="0" fontId="0" fillId="0" borderId="12" xfId="0" applyFill="1" applyBorder="1" applyAlignment="1">
      <alignment horizontal="center"/>
    </xf>
    <xf numFmtId="3" fontId="0" fillId="0" borderId="0" xfId="0" applyNumberFormat="1" applyFill="1" applyBorder="1" applyAlignment="1">
      <alignment horizontal="center" vertical="center" wrapText="1"/>
    </xf>
    <xf numFmtId="0" fontId="0" fillId="10" borderId="0" xfId="0" applyFill="1" applyBorder="1" applyAlignment="1" applyProtection="1">
      <alignment horizontal="center" wrapText="1"/>
    </xf>
    <xf numFmtId="0" fontId="0" fillId="10" borderId="0" xfId="0" applyFill="1" applyBorder="1" applyAlignment="1">
      <alignment horizontal="center" wrapText="1"/>
    </xf>
    <xf numFmtId="0" fontId="0" fillId="0" borderId="15" xfId="0" applyFill="1" applyBorder="1" applyAlignment="1" applyProtection="1">
      <alignment horizontal="left"/>
    </xf>
    <xf numFmtId="0" fontId="0" fillId="0" borderId="8" xfId="0" applyFill="1" applyBorder="1" applyAlignment="1" applyProtection="1">
      <alignment horizontal="right" wrapText="1"/>
    </xf>
    <xf numFmtId="0" fontId="0" fillId="0" borderId="0" xfId="0" applyFill="1" applyBorder="1" applyAlignment="1" applyProtection="1">
      <alignment horizontal="center" wrapText="1"/>
    </xf>
    <xf numFmtId="0" fontId="0" fillId="0" borderId="12" xfId="0" applyFill="1" applyBorder="1" applyAlignment="1" applyProtection="1">
      <alignment horizontal="right" wrapText="1"/>
    </xf>
    <xf numFmtId="3" fontId="0" fillId="0" borderId="12" xfId="0" applyNumberFormat="1" applyFill="1" applyBorder="1" applyAlignment="1" applyProtection="1">
      <alignment horizontal="left" wrapText="1"/>
    </xf>
    <xf numFmtId="0" fontId="0" fillId="23" borderId="0" xfId="0" applyFont="1" applyFill="1" applyAlignment="1" applyProtection="1">
      <alignment horizontal="left"/>
    </xf>
    <xf numFmtId="0" fontId="0" fillId="23" borderId="0" xfId="0" applyFill="1" applyAlignment="1" applyProtection="1">
      <alignment horizontal="left"/>
    </xf>
    <xf numFmtId="0" fontId="0" fillId="23" borderId="0" xfId="0" applyFill="1" applyAlignment="1" applyProtection="1">
      <alignment horizontal="center"/>
    </xf>
    <xf numFmtId="0" fontId="1" fillId="23" borderId="0" xfId="0" applyFont="1" applyFill="1" applyAlignment="1" applyProtection="1">
      <alignment horizontal="left"/>
    </xf>
    <xf numFmtId="0" fontId="1" fillId="0" borderId="6" xfId="0" applyFont="1" applyFill="1" applyBorder="1" applyAlignment="1" applyProtection="1">
      <alignment horizontal="left"/>
    </xf>
    <xf numFmtId="0" fontId="0" fillId="0" borderId="6" xfId="0" applyFill="1" applyBorder="1"/>
    <xf numFmtId="0" fontId="0" fillId="0" borderId="15" xfId="0" applyFill="1" applyBorder="1"/>
    <xf numFmtId="0" fontId="1" fillId="0" borderId="10" xfId="0" applyFont="1" applyFill="1" applyBorder="1" applyAlignment="1" applyProtection="1">
      <alignment horizontal="left"/>
    </xf>
    <xf numFmtId="3" fontId="0" fillId="10" borderId="0" xfId="0" applyNumberFormat="1" applyFill="1" applyBorder="1" applyAlignment="1">
      <alignment horizontal="center" vertical="center" wrapText="1"/>
    </xf>
    <xf numFmtId="3" fontId="0" fillId="0" borderId="9" xfId="0" applyNumberFormat="1" applyFont="1" applyFill="1" applyBorder="1" applyAlignment="1">
      <alignment horizontal="center" wrapText="1"/>
    </xf>
    <xf numFmtId="3" fontId="0" fillId="0" borderId="11" xfId="0" applyNumberFormat="1" applyFont="1" applyFill="1" applyBorder="1" applyAlignment="1">
      <alignment horizontal="center" wrapText="1"/>
    </xf>
    <xf numFmtId="3" fontId="0" fillId="0" borderId="13" xfId="0" applyNumberFormat="1" applyFont="1" applyFill="1" applyBorder="1" applyAlignment="1">
      <alignment horizontal="center" wrapText="1"/>
    </xf>
    <xf numFmtId="3" fontId="0" fillId="0" borderId="2" xfId="0" applyNumberFormat="1" applyFont="1" applyFill="1" applyBorder="1" applyAlignment="1">
      <alignment horizontal="center" wrapText="1"/>
    </xf>
    <xf numFmtId="3" fontId="0" fillId="0" borderId="11" xfId="0" applyNumberFormat="1" applyFont="1" applyFill="1" applyBorder="1" applyAlignment="1" applyProtection="1">
      <alignment horizontal="right" wrapText="1"/>
    </xf>
    <xf numFmtId="0" fontId="1" fillId="0" borderId="10" xfId="0" applyFont="1" applyBorder="1" applyAlignment="1">
      <alignment horizontal="center" wrapText="1"/>
    </xf>
    <xf numFmtId="3" fontId="0" fillId="0" borderId="15" xfId="0" applyNumberFormat="1" applyFont="1" applyFill="1" applyBorder="1" applyAlignment="1" applyProtection="1">
      <alignment horizontal="right" wrapText="1"/>
    </xf>
    <xf numFmtId="3" fontId="5" fillId="0" borderId="15" xfId="0" applyNumberFormat="1" applyFont="1" applyFill="1" applyBorder="1" applyAlignment="1" applyProtection="1">
      <alignment horizontal="right" wrapText="1"/>
    </xf>
    <xf numFmtId="0" fontId="0" fillId="0" borderId="7" xfId="0" applyFont="1" applyBorder="1" applyAlignment="1">
      <alignment horizontal="center" wrapText="1"/>
    </xf>
    <xf numFmtId="0" fontId="0" fillId="0" borderId="6" xfId="0" applyFont="1" applyBorder="1" applyAlignment="1">
      <alignment horizontal="center" wrapText="1"/>
    </xf>
    <xf numFmtId="0" fontId="0" fillId="0" borderId="10" xfId="0" applyFont="1" applyBorder="1" applyAlignment="1">
      <alignment horizontal="center" wrapText="1"/>
    </xf>
    <xf numFmtId="0" fontId="0" fillId="10" borderId="0" xfId="0" applyFill="1" applyBorder="1" applyAlignment="1">
      <alignment horizontal="center"/>
    </xf>
    <xf numFmtId="3" fontId="1" fillId="0" borderId="6" xfId="0" applyNumberFormat="1" applyFont="1" applyFill="1" applyBorder="1" applyAlignment="1">
      <alignment horizontal="center" vertical="center" wrapText="1"/>
    </xf>
    <xf numFmtId="3" fontId="0" fillId="5" borderId="10" xfId="0" applyNumberFormat="1" applyFill="1" applyBorder="1" applyAlignment="1">
      <alignment horizontal="center" vertical="center" wrapText="1"/>
    </xf>
    <xf numFmtId="0" fontId="0" fillId="5" borderId="12" xfId="0" applyFill="1" applyBorder="1" applyAlignment="1">
      <alignment horizontal="center" wrapText="1"/>
    </xf>
    <xf numFmtId="3" fontId="0" fillId="5" borderId="12" xfId="0" applyNumberFormat="1" applyFill="1" applyBorder="1" applyAlignment="1" applyProtection="1">
      <alignment horizontal="right" wrapText="1"/>
    </xf>
    <xf numFmtId="0" fontId="0" fillId="5" borderId="12" xfId="0" applyFill="1" applyBorder="1" applyAlignment="1" applyProtection="1">
      <alignment horizontal="right" wrapText="1"/>
    </xf>
    <xf numFmtId="3" fontId="0" fillId="5" borderId="12" xfId="0" applyNumberFormat="1" applyFill="1" applyBorder="1" applyAlignment="1" applyProtection="1">
      <alignment horizontal="left" wrapText="1"/>
    </xf>
    <xf numFmtId="0" fontId="0" fillId="5" borderId="12" xfId="0" applyFill="1" applyBorder="1" applyAlignment="1" applyProtection="1">
      <alignment horizontal="left"/>
    </xf>
    <xf numFmtId="0" fontId="0" fillId="5" borderId="12" xfId="0" applyFill="1" applyBorder="1" applyAlignment="1" applyProtection="1">
      <alignment horizontal="center" wrapText="1"/>
    </xf>
    <xf numFmtId="0" fontId="27" fillId="0" borderId="0" xfId="0" applyFont="1" applyFill="1" applyBorder="1" applyAlignment="1">
      <alignment horizontal="center" wrapText="1"/>
    </xf>
    <xf numFmtId="0" fontId="1" fillId="0" borderId="0" xfId="0" applyFont="1" applyFill="1" applyBorder="1" applyAlignment="1">
      <alignment horizontal="center" vertical="center" wrapText="1"/>
    </xf>
    <xf numFmtId="3" fontId="0" fillId="0" borderId="7" xfId="0" applyNumberFormat="1" applyFont="1" applyFill="1" applyBorder="1" applyAlignment="1">
      <alignment horizontal="center" wrapText="1"/>
    </xf>
    <xf numFmtId="0" fontId="27" fillId="0" borderId="9" xfId="0" applyFont="1" applyFill="1" applyBorder="1" applyAlignment="1">
      <alignment horizontal="left" wrapText="1"/>
    </xf>
    <xf numFmtId="3" fontId="0" fillId="0" borderId="10" xfId="0" applyNumberFormat="1" applyFont="1" applyFill="1" applyBorder="1" applyAlignment="1">
      <alignment horizontal="center" wrapText="1"/>
    </xf>
    <xf numFmtId="0" fontId="27" fillId="0" borderId="11" xfId="0" applyFont="1" applyFill="1" applyBorder="1" applyAlignment="1">
      <alignment horizontal="left" wrapText="1"/>
    </xf>
    <xf numFmtId="0" fontId="7" fillId="10" borderId="0" xfId="0" applyFont="1" applyFill="1" applyBorder="1" applyAlignment="1" applyProtection="1">
      <alignment horizontal="center"/>
    </xf>
    <xf numFmtId="0" fontId="45" fillId="10" borderId="0" xfId="0" applyFont="1" applyFill="1" applyBorder="1" applyAlignment="1" applyProtection="1">
      <alignment horizontal="center"/>
    </xf>
    <xf numFmtId="0" fontId="0" fillId="10" borderId="12" xfId="0" applyFill="1" applyBorder="1" applyAlignment="1" applyProtection="1">
      <alignment horizontal="center"/>
    </xf>
    <xf numFmtId="0" fontId="2" fillId="10" borderId="12" xfId="0" applyFont="1" applyFill="1" applyBorder="1" applyAlignment="1" applyProtection="1">
      <alignment horizontal="center"/>
    </xf>
    <xf numFmtId="0" fontId="1" fillId="10" borderId="0" xfId="0" applyFont="1" applyFill="1" applyBorder="1" applyAlignment="1">
      <alignment wrapText="1"/>
    </xf>
    <xf numFmtId="0" fontId="1" fillId="10" borderId="8" xfId="0" applyFont="1" applyFill="1" applyBorder="1" applyAlignment="1">
      <alignment wrapText="1"/>
    </xf>
    <xf numFmtId="0" fontId="46" fillId="0" borderId="0" xfId="0" applyFont="1" applyAlignment="1" applyProtection="1">
      <alignment horizontal="center"/>
      <protection locked="0"/>
    </xf>
    <xf numFmtId="0" fontId="48" fillId="0" borderId="0" xfId="0" applyFont="1" applyAlignment="1" applyProtection="1">
      <alignment horizontal="center"/>
      <protection locked="0"/>
    </xf>
    <xf numFmtId="0" fontId="0" fillId="0" borderId="0" xfId="0" applyAlignment="1" applyProtection="1">
      <alignment horizontal="right"/>
      <protection locked="0"/>
    </xf>
    <xf numFmtId="9" fontId="0" fillId="0" borderId="0" xfId="0" applyNumberFormat="1" applyFill="1" applyBorder="1" applyAlignment="1">
      <alignment horizontal="center" vertical="center" wrapText="1"/>
    </xf>
    <xf numFmtId="0" fontId="0" fillId="22" borderId="0" xfId="0" applyFill="1" applyAlignment="1" applyProtection="1">
      <alignment horizontal="center"/>
      <protection locked="0"/>
    </xf>
    <xf numFmtId="0" fontId="1" fillId="22" borderId="0" xfId="0" applyFont="1" applyFill="1" applyAlignment="1" applyProtection="1">
      <alignment horizontal="center"/>
      <protection locked="0"/>
    </xf>
    <xf numFmtId="0" fontId="0" fillId="22" borderId="0" xfId="0" applyFill="1" applyAlignment="1" applyProtection="1">
      <alignment horizontal="left"/>
      <protection locked="0"/>
    </xf>
    <xf numFmtId="0" fontId="0" fillId="22" borderId="0" xfId="0"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2" fillId="0" borderId="8" xfId="0" applyFont="1" applyFill="1" applyBorder="1" applyAlignment="1" applyProtection="1">
      <alignment horizontal="left"/>
      <protection locked="0"/>
    </xf>
    <xf numFmtId="0" fontId="2" fillId="0" borderId="9" xfId="0" applyFont="1" applyBorder="1" applyAlignment="1" applyProtection="1">
      <alignment horizontal="center"/>
      <protection locked="0"/>
    </xf>
    <xf numFmtId="0" fontId="2" fillId="0" borderId="6"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2" fillId="0" borderId="0" xfId="0" applyFont="1" applyFill="1" applyBorder="1" applyAlignment="1" applyProtection="1">
      <alignment horizontal="left"/>
      <protection locked="0"/>
    </xf>
    <xf numFmtId="0" fontId="2" fillId="0" borderId="15" xfId="0" applyFont="1" applyBorder="1" applyAlignment="1" applyProtection="1">
      <alignment horizontal="center"/>
      <protection locked="0"/>
    </xf>
    <xf numFmtId="0" fontId="2" fillId="0" borderId="10" xfId="0" applyFont="1" applyFill="1" applyBorder="1" applyAlignment="1">
      <alignment horizontal="center" vertical="center" wrapText="1"/>
    </xf>
    <xf numFmtId="0" fontId="2" fillId="0" borderId="12" xfId="0" applyFont="1" applyFill="1" applyBorder="1" applyAlignment="1">
      <alignment horizontal="right" vertical="center" wrapText="1"/>
    </xf>
    <xf numFmtId="0" fontId="2" fillId="0" borderId="12" xfId="0" applyFont="1" applyFill="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0" xfId="0" applyFont="1" applyFill="1" applyBorder="1" applyAlignment="1">
      <alignment horizontal="center" vertical="center" wrapText="1"/>
    </xf>
    <xf numFmtId="9"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0" fillId="5" borderId="12" xfId="0" applyFill="1" applyBorder="1" applyAlignment="1" applyProtection="1">
      <alignment horizontal="center" wrapText="1"/>
      <protection locked="0"/>
    </xf>
    <xf numFmtId="3" fontId="0" fillId="0" borderId="0" xfId="0" applyNumberFormat="1" applyBorder="1" applyAlignment="1" applyProtection="1">
      <alignment horizontal="right" wrapText="1"/>
      <protection locked="0"/>
    </xf>
    <xf numFmtId="0" fontId="0" fillId="0" borderId="0" xfId="0" applyBorder="1" applyAlignment="1" applyProtection="1">
      <alignment horizontal="left"/>
      <protection locked="0"/>
    </xf>
    <xf numFmtId="0" fontId="0" fillId="0" borderId="11" xfId="0" applyFill="1" applyBorder="1" applyAlignment="1" applyProtection="1">
      <alignment horizontal="center" wrapText="1"/>
    </xf>
    <xf numFmtId="0" fontId="0" fillId="5" borderId="0" xfId="0" applyFill="1" applyBorder="1" applyAlignment="1" applyProtection="1">
      <alignment horizontal="right"/>
      <protection locked="0"/>
    </xf>
    <xf numFmtId="9" fontId="0" fillId="5" borderId="0" xfId="0" applyNumberFormat="1" applyFill="1" applyBorder="1" applyAlignment="1">
      <alignment horizontal="center" vertical="center" wrapText="1"/>
    </xf>
    <xf numFmtId="0" fontId="0" fillId="5" borderId="0" xfId="0" applyFill="1" applyBorder="1" applyAlignment="1" applyProtection="1">
      <alignment horizontal="left"/>
      <protection locked="0"/>
    </xf>
    <xf numFmtId="0" fontId="0" fillId="5" borderId="0" xfId="0" applyFill="1" applyBorder="1" applyAlignment="1">
      <alignment horizontal="center" vertical="center" wrapText="1"/>
    </xf>
    <xf numFmtId="0" fontId="2" fillId="5" borderId="0" xfId="0" applyFont="1" applyFill="1" applyBorder="1" applyAlignment="1" applyProtection="1">
      <alignment horizontal="center"/>
    </xf>
    <xf numFmtId="0" fontId="26" fillId="0" borderId="12" xfId="0" applyFont="1" applyFill="1" applyBorder="1" applyAlignment="1" applyProtection="1">
      <alignment horizontal="left"/>
    </xf>
    <xf numFmtId="0" fontId="0" fillId="0" borderId="12" xfId="0" applyFont="1" applyFill="1" applyBorder="1" applyAlignment="1" applyProtection="1">
      <alignment horizontal="left"/>
    </xf>
    <xf numFmtId="0" fontId="0" fillId="0" borderId="12" xfId="0" applyFont="1" applyFill="1" applyBorder="1" applyAlignment="1" applyProtection="1">
      <alignment horizontal="center" wrapText="1"/>
    </xf>
    <xf numFmtId="0" fontId="0" fillId="0" borderId="12" xfId="0" applyFont="1" applyFill="1" applyBorder="1" applyAlignment="1" applyProtection="1">
      <alignment horizontal="center" vertical="center" wrapText="1"/>
    </xf>
    <xf numFmtId="0" fontId="26" fillId="0" borderId="12" xfId="0" applyFont="1" applyFill="1" applyBorder="1" applyAlignment="1" applyProtection="1">
      <alignment horizontal="center"/>
    </xf>
    <xf numFmtId="0" fontId="0" fillId="0" borderId="11" xfId="0" applyFont="1" applyFill="1" applyBorder="1" applyAlignment="1" applyProtection="1">
      <alignment horizontal="center" wrapText="1"/>
    </xf>
    <xf numFmtId="0" fontId="20" fillId="10" borderId="0" xfId="0" applyFont="1" applyFill="1" applyBorder="1" applyAlignment="1" applyProtection="1">
      <alignment horizontal="center"/>
    </xf>
    <xf numFmtId="0" fontId="20" fillId="10" borderId="0" xfId="0" applyFont="1" applyFill="1" applyBorder="1" applyAlignment="1" applyProtection="1">
      <alignment horizontal="center" wrapText="1"/>
    </xf>
    <xf numFmtId="0" fontId="0" fillId="5" borderId="15" xfId="0" applyFill="1" applyBorder="1" applyAlignment="1">
      <alignment horizontal="center" vertical="center" wrapText="1"/>
    </xf>
    <xf numFmtId="1" fontId="0" fillId="5" borderId="0" xfId="0" applyNumberFormat="1" applyFont="1" applyFill="1" applyBorder="1" applyAlignment="1" applyProtection="1">
      <alignment horizontal="center" wrapText="1"/>
      <protection locked="0"/>
    </xf>
    <xf numFmtId="0" fontId="51" fillId="25" borderId="0" xfId="0" applyFont="1" applyFill="1" applyAlignment="1" applyProtection="1">
      <alignment horizontal="center"/>
      <protection locked="0"/>
    </xf>
    <xf numFmtId="0" fontId="46" fillId="0" borderId="0" xfId="0" applyFont="1" applyAlignment="1" applyProtection="1">
      <alignment horizontal="center" vertical="center"/>
      <protection locked="0"/>
    </xf>
    <xf numFmtId="0" fontId="48" fillId="0" borderId="0" xfId="0" applyFont="1" applyAlignment="1" applyProtection="1">
      <alignment horizontal="center" vertical="center"/>
      <protection locked="0"/>
    </xf>
    <xf numFmtId="0" fontId="49" fillId="0" borderId="0" xfId="0" applyFont="1" applyAlignment="1" applyProtection="1">
      <alignment horizontal="left" vertical="center"/>
      <protection locked="0"/>
    </xf>
    <xf numFmtId="0" fontId="51" fillId="25" borderId="0" xfId="0" applyFont="1" applyFill="1" applyAlignment="1" applyProtection="1">
      <alignment horizontal="center" vertical="center"/>
      <protection locked="0"/>
    </xf>
    <xf numFmtId="0" fontId="52" fillId="25" borderId="0" xfId="0" applyFont="1" applyFill="1" applyAlignment="1" applyProtection="1">
      <alignment horizontal="center" vertical="center"/>
      <protection locked="0"/>
    </xf>
    <xf numFmtId="0" fontId="49" fillId="4" borderId="0" xfId="0" applyFont="1" applyFill="1" applyAlignment="1" applyProtection="1">
      <alignment horizontal="left" vertical="center"/>
      <protection locked="0"/>
    </xf>
    <xf numFmtId="0" fontId="49" fillId="5" borderId="0" xfId="0" applyFont="1" applyFill="1" applyAlignment="1" applyProtection="1">
      <alignment horizontal="left" vertical="center"/>
      <protection locked="0"/>
    </xf>
    <xf numFmtId="0" fontId="53" fillId="0" borderId="0" xfId="0" applyFont="1" applyAlignment="1" applyProtection="1">
      <alignment horizontal="center" vertical="center"/>
      <protection locked="0"/>
    </xf>
    <xf numFmtId="0" fontId="49" fillId="0" borderId="0" xfId="0" applyFont="1" applyAlignment="1" applyProtection="1">
      <alignment horizontal="center" vertical="center"/>
      <protection locked="0"/>
    </xf>
    <xf numFmtId="0" fontId="50" fillId="0" borderId="0" xfId="0" applyFont="1" applyAlignment="1" applyProtection="1">
      <alignment horizontal="center" vertical="center"/>
      <protection locked="0"/>
    </xf>
    <xf numFmtId="0" fontId="49" fillId="0" borderId="6" xfId="0" applyFont="1" applyBorder="1" applyAlignment="1" applyProtection="1">
      <alignment horizontal="left" vertical="center"/>
      <protection locked="0"/>
    </xf>
    <xf numFmtId="0" fontId="49" fillId="0" borderId="6" xfId="0" applyFont="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55" fillId="0" borderId="6" xfId="0" applyFont="1" applyBorder="1" applyAlignment="1">
      <alignment vertical="center"/>
    </xf>
    <xf numFmtId="0" fontId="55" fillId="0" borderId="0" xfId="0" applyFont="1" applyAlignment="1" applyProtection="1">
      <alignment horizontal="center" vertical="center"/>
      <protection locked="0"/>
    </xf>
    <xf numFmtId="0" fontId="51" fillId="0" borderId="0" xfId="0" applyFont="1" applyAlignment="1" applyProtection="1">
      <alignment horizontal="center" vertical="center"/>
      <protection locked="0"/>
    </xf>
    <xf numFmtId="0" fontId="52" fillId="0" borderId="0" xfId="0" applyFont="1" applyAlignment="1" applyProtection="1">
      <alignment horizontal="center" vertical="center"/>
      <protection locked="0"/>
    </xf>
    <xf numFmtId="0" fontId="49" fillId="0" borderId="0" xfId="0" quotePrefix="1" applyFont="1" applyAlignment="1">
      <alignment vertical="center" wrapText="1"/>
    </xf>
    <xf numFmtId="0" fontId="49" fillId="0" borderId="0" xfId="0" applyFont="1" applyAlignment="1">
      <alignment vertical="center" wrapText="1"/>
    </xf>
    <xf numFmtId="0" fontId="0" fillId="0" borderId="0" xfId="0" applyAlignment="1">
      <alignment vertical="center" wrapText="1"/>
    </xf>
    <xf numFmtId="0" fontId="47" fillId="2" borderId="7" xfId="0" applyFont="1" applyFill="1" applyBorder="1" applyAlignment="1">
      <alignment horizontal="center" vertical="center" wrapText="1"/>
    </xf>
    <xf numFmtId="0" fontId="46" fillId="2" borderId="8" xfId="0" applyFont="1" applyFill="1" applyBorder="1" applyAlignment="1">
      <alignment horizontal="center" vertical="center" wrapText="1"/>
    </xf>
    <xf numFmtId="0" fontId="46" fillId="2" borderId="9" xfId="0" applyFont="1" applyFill="1" applyBorder="1" applyAlignment="1">
      <alignment horizontal="center" vertical="center" wrapText="1"/>
    </xf>
    <xf numFmtId="0" fontId="46" fillId="2" borderId="6" xfId="0" applyFont="1" applyFill="1" applyBorder="1" applyAlignment="1">
      <alignment horizontal="center" vertical="center" wrapText="1"/>
    </xf>
    <xf numFmtId="0" fontId="46" fillId="2" borderId="0" xfId="0" applyFont="1" applyFill="1" applyBorder="1" applyAlignment="1">
      <alignment horizontal="center" vertical="center" wrapText="1"/>
    </xf>
    <xf numFmtId="0" fontId="46" fillId="2" borderId="15" xfId="0" applyFont="1" applyFill="1" applyBorder="1" applyAlignment="1">
      <alignment horizontal="center" vertical="center" wrapText="1"/>
    </xf>
    <xf numFmtId="0" fontId="46" fillId="2" borderId="10" xfId="0" applyFont="1" applyFill="1" applyBorder="1" applyAlignment="1">
      <alignment horizontal="center" vertical="center" wrapText="1"/>
    </xf>
    <xf numFmtId="0" fontId="46" fillId="2" borderId="12" xfId="0" applyFont="1" applyFill="1" applyBorder="1" applyAlignment="1">
      <alignment horizontal="center" vertical="center" wrapText="1"/>
    </xf>
    <xf numFmtId="0" fontId="46" fillId="2" borderId="11" xfId="0" applyFont="1" applyFill="1" applyBorder="1" applyAlignment="1">
      <alignment horizontal="center" vertical="center" wrapText="1"/>
    </xf>
    <xf numFmtId="1" fontId="42" fillId="5" borderId="0" xfId="0" applyNumberFormat="1" applyFont="1" applyFill="1" applyBorder="1" applyAlignment="1" applyProtection="1">
      <alignment horizontal="center" wrapText="1"/>
      <protection locked="0"/>
    </xf>
    <xf numFmtId="0" fontId="42" fillId="0" borderId="0" xfId="0" applyFont="1" applyAlignment="1">
      <alignment horizontal="center"/>
    </xf>
    <xf numFmtId="0" fontId="1" fillId="7" borderId="1" xfId="0" applyFont="1" applyFill="1" applyBorder="1" applyAlignment="1" applyProtection="1">
      <alignment horizontal="center" wrapText="1"/>
      <protection locked="0"/>
    </xf>
    <xf numFmtId="0" fontId="5" fillId="0" borderId="4" xfId="0" applyFont="1" applyBorder="1" applyAlignment="1" applyProtection="1">
      <alignment horizontal="right" wrapText="1"/>
      <protection locked="0"/>
    </xf>
    <xf numFmtId="0" fontId="5" fillId="0" borderId="0" xfId="0" applyFont="1" applyBorder="1" applyAlignment="1" applyProtection="1">
      <alignment horizontal="right" wrapText="1"/>
      <protection locked="0"/>
    </xf>
    <xf numFmtId="0" fontId="0" fillId="4" borderId="7" xfId="0" applyFill="1" applyBorder="1" applyAlignment="1" applyProtection="1">
      <alignment horizontal="center" wrapText="1"/>
      <protection locked="0"/>
    </xf>
    <xf numFmtId="0" fontId="0" fillId="0" borderId="9" xfId="0" applyBorder="1" applyAlignment="1" applyProtection="1">
      <alignment horizontal="center" wrapText="1"/>
      <protection locked="0"/>
    </xf>
    <xf numFmtId="0" fontId="0" fillId="4" borderId="3" xfId="0" applyFill="1" applyBorder="1" applyAlignment="1" applyProtection="1">
      <alignment horizontal="center" wrapText="1"/>
      <protection locked="0"/>
    </xf>
    <xf numFmtId="0" fontId="0" fillId="0" borderId="5" xfId="0" applyBorder="1" applyAlignment="1" applyProtection="1">
      <alignment horizontal="center" wrapText="1"/>
      <protection locked="0"/>
    </xf>
    <xf numFmtId="0" fontId="5" fillId="0" borderId="12" xfId="0" applyFont="1" applyBorder="1" applyAlignment="1" applyProtection="1">
      <alignment horizontal="right" wrapText="1"/>
      <protection locked="0"/>
    </xf>
    <xf numFmtId="0" fontId="0" fillId="0" borderId="12" xfId="0" applyFont="1" applyBorder="1" applyAlignment="1" applyProtection="1">
      <alignment horizontal="right" wrapText="1"/>
      <protection locked="0"/>
    </xf>
    <xf numFmtId="0" fontId="0" fillId="4" borderId="5" xfId="0" applyFill="1" applyBorder="1" applyAlignment="1" applyProtection="1">
      <alignment horizontal="center" wrapText="1"/>
      <protection locked="0"/>
    </xf>
    <xf numFmtId="0" fontId="0" fillId="3" borderId="0" xfId="0" applyFill="1" applyAlignment="1" applyProtection="1">
      <alignment horizontal="right" wrapText="1"/>
      <protection locked="0"/>
    </xf>
    <xf numFmtId="0" fontId="0" fillId="0" borderId="0" xfId="0" applyAlignment="1" applyProtection="1">
      <alignment wrapText="1"/>
      <protection locked="0"/>
    </xf>
    <xf numFmtId="1" fontId="0" fillId="4" borderId="3" xfId="0" applyNumberFormat="1" applyFont="1" applyFill="1" applyBorder="1" applyAlignment="1" applyProtection="1">
      <alignment horizontal="center" wrapText="1"/>
      <protection locked="0"/>
    </xf>
    <xf numFmtId="0" fontId="31" fillId="16" borderId="7" xfId="0" applyFont="1" applyFill="1" applyBorder="1" applyAlignment="1">
      <alignment horizontal="center" vertical="center" wrapText="1"/>
    </xf>
    <xf numFmtId="0" fontId="0" fillId="16" borderId="8" xfId="0" applyFill="1" applyBorder="1" applyAlignment="1">
      <alignment horizontal="center" vertical="center" wrapText="1"/>
    </xf>
    <xf numFmtId="0" fontId="0" fillId="16" borderId="9" xfId="0" applyFill="1" applyBorder="1" applyAlignment="1">
      <alignment horizontal="center" vertical="center" wrapText="1"/>
    </xf>
    <xf numFmtId="0" fontId="0" fillId="16" borderId="6" xfId="0" applyFill="1" applyBorder="1" applyAlignment="1">
      <alignment horizontal="center" vertical="center" wrapText="1"/>
    </xf>
    <xf numFmtId="0" fontId="0" fillId="16" borderId="0" xfId="0" applyFill="1" applyBorder="1" applyAlignment="1">
      <alignment horizontal="center" vertical="center" wrapText="1"/>
    </xf>
    <xf numFmtId="0" fontId="0" fillId="16" borderId="15" xfId="0" applyFill="1" applyBorder="1" applyAlignment="1">
      <alignment horizontal="center" vertical="center" wrapText="1"/>
    </xf>
    <xf numFmtId="0" fontId="0" fillId="16" borderId="10" xfId="0" applyFill="1" applyBorder="1" applyAlignment="1">
      <alignment horizontal="center" vertical="center" wrapText="1"/>
    </xf>
    <xf numFmtId="0" fontId="0" fillId="16" borderId="12" xfId="0" applyFill="1" applyBorder="1" applyAlignment="1">
      <alignment horizontal="center" vertical="center" wrapText="1"/>
    </xf>
    <xf numFmtId="0" fontId="0" fillId="16" borderId="11" xfId="0" applyFill="1" applyBorder="1" applyAlignment="1">
      <alignment horizontal="center" vertical="center" wrapText="1"/>
    </xf>
    <xf numFmtId="0" fontId="0" fillId="0" borderId="3" xfId="0" applyFill="1" applyBorder="1" applyAlignment="1" applyProtection="1">
      <alignment horizontal="left"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5" fillId="5" borderId="3" xfId="0" applyFont="1" applyFill="1" applyBorder="1" applyAlignment="1" applyProtection="1">
      <alignment horizontal="center" wrapText="1"/>
      <protection locked="0"/>
    </xf>
    <xf numFmtId="0" fontId="0" fillId="0" borderId="5" xfId="0" applyFont="1" applyBorder="1" applyAlignment="1" applyProtection="1">
      <alignment horizontal="center" wrapText="1"/>
      <protection locked="0"/>
    </xf>
    <xf numFmtId="0" fontId="5" fillId="5" borderId="5" xfId="0" applyFont="1" applyFill="1" applyBorder="1" applyAlignment="1" applyProtection="1">
      <alignment horizontal="center" wrapText="1"/>
      <protection locked="0"/>
    </xf>
    <xf numFmtId="1" fontId="0" fillId="4" borderId="1" xfId="0" applyNumberFormat="1"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0" fillId="2" borderId="3" xfId="0" applyFill="1" applyBorder="1" applyAlignment="1" applyProtection="1">
      <alignment horizontal="center" wrapText="1"/>
      <protection locked="0"/>
    </xf>
    <xf numFmtId="0" fontId="0" fillId="2" borderId="1" xfId="0" applyFill="1" applyBorder="1" applyAlignment="1" applyProtection="1">
      <alignment horizontal="center" wrapText="1"/>
      <protection locked="0"/>
    </xf>
    <xf numFmtId="2" fontId="0" fillId="3" borderId="3" xfId="0" applyNumberForma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1" fillId="2" borderId="3" xfId="0" applyFont="1" applyFill="1" applyBorder="1" applyAlignment="1" applyProtection="1">
      <alignment horizontal="center" wrapText="1"/>
      <protection locked="0"/>
    </xf>
    <xf numFmtId="0" fontId="1" fillId="0" borderId="3"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0" fillId="0" borderId="3"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27" fillId="0" borderId="13" xfId="0" applyFont="1" applyBorder="1" applyAlignment="1" applyProtection="1">
      <alignment horizontal="center" wrapText="1"/>
      <protection locked="0"/>
    </xf>
    <xf numFmtId="0" fontId="27" fillId="0" borderId="2" xfId="0" applyFont="1" applyBorder="1" applyAlignment="1" applyProtection="1">
      <alignment horizontal="center" wrapText="1"/>
      <protection locked="0"/>
    </xf>
    <xf numFmtId="0" fontId="0" fillId="0" borderId="7" xfId="0" applyBorder="1" applyAlignment="1" applyProtection="1">
      <alignment horizontal="center" wrapText="1"/>
      <protection locked="0"/>
    </xf>
    <xf numFmtId="0" fontId="7" fillId="4" borderId="4" xfId="0" applyFont="1" applyFill="1" applyBorder="1" applyAlignment="1" applyProtection="1">
      <alignment horizontal="center" wrapText="1"/>
      <protection locked="0"/>
    </xf>
    <xf numFmtId="0" fontId="7" fillId="0" borderId="3" xfId="0" applyFont="1"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7" fillId="4" borderId="8" xfId="0" applyFont="1" applyFill="1" applyBorder="1" applyAlignment="1" applyProtection="1">
      <alignment horizontal="center" wrapText="1"/>
      <protection locked="0"/>
    </xf>
    <xf numFmtId="0" fontId="0" fillId="0" borderId="8" xfId="0" applyBorder="1" applyAlignment="1" applyProtection="1">
      <alignment horizontal="center" wrapText="1"/>
      <protection locked="0"/>
    </xf>
    <xf numFmtId="0" fontId="7" fillId="4" borderId="0" xfId="0" applyFont="1" applyFill="1" applyBorder="1" applyAlignment="1" applyProtection="1">
      <alignment horizontal="center" wrapText="1"/>
      <protection locked="0"/>
    </xf>
    <xf numFmtId="0" fontId="0" fillId="0" borderId="12"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7" fillId="4" borderId="17" xfId="0" applyFont="1" applyFill="1" applyBorder="1" applyAlignment="1" applyProtection="1">
      <alignment horizontal="center" wrapText="1"/>
      <protection locked="0"/>
    </xf>
    <xf numFmtId="0" fontId="0" fillId="0" borderId="17" xfId="0" applyBorder="1" applyAlignment="1" applyProtection="1">
      <alignment horizontal="center" wrapText="1"/>
      <protection locked="0"/>
    </xf>
    <xf numFmtId="0" fontId="0" fillId="0" borderId="16" xfId="0" applyBorder="1" applyAlignment="1" applyProtection="1">
      <alignment horizontal="center" wrapText="1"/>
      <protection locked="0"/>
    </xf>
    <xf numFmtId="0" fontId="7" fillId="0" borderId="7" xfId="0" applyFont="1"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5" borderId="3" xfId="0" applyFill="1" applyBorder="1" applyAlignment="1" applyProtection="1">
      <alignment horizontal="center" wrapText="1"/>
      <protection locked="0"/>
    </xf>
    <xf numFmtId="0" fontId="0" fillId="5" borderId="4" xfId="0" applyFill="1" applyBorder="1" applyAlignment="1" applyProtection="1">
      <alignment horizontal="center" wrapText="1"/>
      <protection locked="0"/>
    </xf>
    <xf numFmtId="0" fontId="0" fillId="5" borderId="0" xfId="0" applyFill="1" applyBorder="1" applyAlignment="1" applyProtection="1">
      <alignment horizontal="center" wrapText="1"/>
      <protection locked="0"/>
    </xf>
    <xf numFmtId="0" fontId="31" fillId="8" borderId="7" xfId="0" applyFont="1"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0" fontId="0" fillId="8" borderId="6" xfId="0" applyFill="1" applyBorder="1" applyAlignment="1">
      <alignment horizontal="center" vertical="center" wrapText="1"/>
    </xf>
    <xf numFmtId="0" fontId="0" fillId="8" borderId="0" xfId="0" applyFill="1" applyBorder="1" applyAlignment="1">
      <alignment horizontal="center" vertical="center" wrapText="1"/>
    </xf>
    <xf numFmtId="0" fontId="0" fillId="8" borderId="15"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12" xfId="0" applyFill="1" applyBorder="1" applyAlignment="1">
      <alignment horizontal="center" vertical="center" wrapText="1"/>
    </xf>
    <xf numFmtId="0" fontId="0" fillId="8" borderId="11" xfId="0" applyFill="1" applyBorder="1" applyAlignment="1">
      <alignment horizontal="center" vertical="center" wrapText="1"/>
    </xf>
    <xf numFmtId="0" fontId="10" fillId="5" borderId="3" xfId="0" applyFont="1" applyFill="1" applyBorder="1" applyAlignment="1" applyProtection="1">
      <alignment horizontal="center" wrapText="1"/>
      <protection locked="0"/>
    </xf>
    <xf numFmtId="0" fontId="10" fillId="5" borderId="4" xfId="0" applyFont="1" applyFill="1" applyBorder="1" applyAlignment="1" applyProtection="1">
      <alignment horizontal="center" wrapText="1"/>
      <protection locked="0"/>
    </xf>
    <xf numFmtId="0" fontId="10" fillId="5" borderId="0" xfId="0" applyFont="1" applyFill="1" applyBorder="1" applyAlignment="1" applyProtection="1">
      <alignment horizontal="center" wrapText="1"/>
      <protection locked="0"/>
    </xf>
    <xf numFmtId="0" fontId="0" fillId="4" borderId="4" xfId="0" applyFont="1" applyFill="1" applyBorder="1" applyAlignment="1" applyProtection="1">
      <alignment horizontal="center" wrapText="1"/>
      <protection locked="0"/>
    </xf>
    <xf numFmtId="3" fontId="5" fillId="0" borderId="7" xfId="0" applyNumberFormat="1" applyFont="1" applyBorder="1" applyAlignment="1" applyProtection="1">
      <alignment horizontal="right" wrapText="1"/>
      <protection locked="0"/>
    </xf>
    <xf numFmtId="0" fontId="0" fillId="0" borderId="8" xfId="0" applyBorder="1" applyAlignment="1" applyProtection="1">
      <alignment horizontal="right"/>
      <protection locked="0"/>
    </xf>
    <xf numFmtId="3" fontId="5" fillId="0" borderId="8" xfId="0" applyNumberFormat="1" applyFont="1" applyBorder="1" applyAlignment="1" applyProtection="1">
      <alignment horizontal="left" wrapText="1"/>
      <protection locked="0"/>
    </xf>
    <xf numFmtId="0" fontId="0" fillId="0" borderId="9" xfId="0" applyBorder="1" applyAlignment="1" applyProtection="1">
      <alignment horizontal="left" wrapText="1"/>
      <protection locked="0"/>
    </xf>
    <xf numFmtId="3" fontId="0" fillId="0" borderId="6" xfId="0" applyNumberFormat="1" applyBorder="1" applyAlignment="1" applyProtection="1">
      <alignment horizontal="right" wrapText="1"/>
      <protection locked="0"/>
    </xf>
    <xf numFmtId="0" fontId="0" fillId="0" borderId="0" xfId="0" applyBorder="1" applyAlignment="1" applyProtection="1">
      <alignment horizontal="right"/>
      <protection locked="0"/>
    </xf>
    <xf numFmtId="3" fontId="0" fillId="0" borderId="0" xfId="0" applyNumberFormat="1" applyBorder="1" applyAlignment="1" applyProtection="1">
      <alignment horizontal="left" wrapText="1"/>
      <protection locked="0"/>
    </xf>
    <xf numFmtId="0" fontId="0" fillId="0" borderId="15" xfId="0" applyBorder="1" applyAlignment="1" applyProtection="1">
      <alignment horizontal="left" wrapText="1"/>
      <protection locked="0"/>
    </xf>
    <xf numFmtId="0" fontId="0" fillId="0" borderId="0" xfId="0" applyBorder="1" applyAlignment="1" applyProtection="1">
      <alignment horizontal="right" wrapText="1"/>
      <protection locked="0"/>
    </xf>
    <xf numFmtId="0" fontId="0" fillId="0" borderId="15" xfId="0" applyBorder="1" applyAlignment="1" applyProtection="1">
      <alignment horizontal="left"/>
      <protection locked="0"/>
    </xf>
    <xf numFmtId="0" fontId="0" fillId="0" borderId="8" xfId="0" applyBorder="1" applyAlignment="1" applyProtection="1">
      <alignment horizontal="right" wrapText="1"/>
      <protection locked="0"/>
    </xf>
    <xf numFmtId="3" fontId="0" fillId="0" borderId="10" xfId="0" applyNumberFormat="1" applyBorder="1" applyAlignment="1" applyProtection="1">
      <alignment horizontal="right" wrapText="1"/>
      <protection locked="0"/>
    </xf>
    <xf numFmtId="0" fontId="0" fillId="0" borderId="12" xfId="0" applyBorder="1" applyAlignment="1" applyProtection="1">
      <alignment horizontal="right" wrapText="1"/>
      <protection locked="0"/>
    </xf>
    <xf numFmtId="3" fontId="0" fillId="0" borderId="12" xfId="0" applyNumberFormat="1" applyBorder="1" applyAlignment="1" applyProtection="1">
      <alignment horizontal="left" wrapText="1"/>
      <protection locked="0"/>
    </xf>
    <xf numFmtId="0" fontId="0" fillId="0" borderId="11" xfId="0" applyBorder="1" applyAlignment="1" applyProtection="1">
      <alignment horizontal="left"/>
      <protection locked="0"/>
    </xf>
    <xf numFmtId="0" fontId="0" fillId="4" borderId="1" xfId="0" applyFill="1" applyBorder="1" applyAlignment="1" applyProtection="1">
      <alignment horizontal="center" wrapText="1"/>
      <protection locked="0"/>
    </xf>
    <xf numFmtId="3" fontId="0" fillId="0" borderId="3" xfId="0" applyNumberFormat="1" applyBorder="1" applyAlignment="1" applyProtection="1">
      <alignment horizontal="center" wrapText="1"/>
      <protection locked="0"/>
    </xf>
    <xf numFmtId="3" fontId="0" fillId="4" borderId="3" xfId="0" applyNumberFormat="1" applyFill="1" applyBorder="1" applyAlignment="1" applyProtection="1">
      <alignment horizontal="center" wrapText="1"/>
      <protection locked="0"/>
    </xf>
    <xf numFmtId="0" fontId="1" fillId="3" borderId="7" xfId="0" applyFont="1" applyFill="1" applyBorder="1" applyAlignment="1" applyProtection="1">
      <alignment horizontal="center" wrapText="1"/>
      <protection locked="0"/>
    </xf>
    <xf numFmtId="0" fontId="0" fillId="0" borderId="6" xfId="0" applyBorder="1" applyAlignment="1" applyProtection="1">
      <alignment horizontal="center" wrapText="1"/>
      <protection locked="0"/>
    </xf>
    <xf numFmtId="0" fontId="0" fillId="0" borderId="15" xfId="0" applyBorder="1" applyAlignment="1" applyProtection="1">
      <alignment horizontal="center" wrapText="1"/>
      <protection locked="0"/>
    </xf>
    <xf numFmtId="0" fontId="1" fillId="3" borderId="13" xfId="0" applyFont="1" applyFill="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1" fillId="0" borderId="7" xfId="0" applyFont="1" applyBorder="1" applyAlignment="1" applyProtection="1">
      <alignment horizontal="center" wrapText="1"/>
      <protection locked="0"/>
    </xf>
    <xf numFmtId="0" fontId="0" fillId="0" borderId="10" xfId="0" applyBorder="1" applyAlignment="1" applyProtection="1">
      <alignment horizontal="center" wrapText="1"/>
      <protection locked="0"/>
    </xf>
    <xf numFmtId="0" fontId="0" fillId="3" borderId="10" xfId="0" applyFill="1" applyBorder="1" applyAlignment="1" applyProtection="1">
      <alignment horizontal="center" wrapText="1"/>
      <protection locked="0"/>
    </xf>
    <xf numFmtId="0" fontId="0" fillId="4" borderId="3" xfId="0" applyFont="1" applyFill="1" applyBorder="1" applyAlignment="1" applyProtection="1">
      <alignment horizontal="center" wrapText="1"/>
      <protection locked="0"/>
    </xf>
    <xf numFmtId="0" fontId="0" fillId="0" borderId="4" xfId="0" applyFont="1" applyBorder="1" applyAlignment="1" applyProtection="1">
      <alignment horizontal="center" wrapText="1"/>
      <protection locked="0"/>
    </xf>
    <xf numFmtId="0" fontId="31" fillId="18" borderId="7" xfId="0" applyFont="1" applyFill="1" applyBorder="1" applyAlignment="1">
      <alignment horizontal="center" vertical="center" wrapText="1"/>
    </xf>
    <xf numFmtId="0" fontId="0" fillId="18" borderId="8" xfId="0" applyFill="1" applyBorder="1" applyAlignment="1">
      <alignment horizontal="center" vertical="center" wrapText="1"/>
    </xf>
    <xf numFmtId="0" fontId="0" fillId="18" borderId="9" xfId="0" applyFill="1" applyBorder="1" applyAlignment="1">
      <alignment horizontal="center" vertical="center" wrapText="1"/>
    </xf>
    <xf numFmtId="0" fontId="0" fillId="18" borderId="6" xfId="0" applyFill="1" applyBorder="1" applyAlignment="1">
      <alignment horizontal="center" vertical="center" wrapText="1"/>
    </xf>
    <xf numFmtId="0" fontId="0" fillId="18" borderId="0" xfId="0" applyFill="1" applyBorder="1" applyAlignment="1">
      <alignment horizontal="center" vertical="center" wrapText="1"/>
    </xf>
    <xf numFmtId="0" fontId="0" fillId="18" borderId="15" xfId="0" applyFill="1" applyBorder="1" applyAlignment="1">
      <alignment horizontal="center" vertical="center" wrapText="1"/>
    </xf>
    <xf numFmtId="0" fontId="0" fillId="18" borderId="10" xfId="0" applyFill="1" applyBorder="1" applyAlignment="1">
      <alignment horizontal="center" vertical="center" wrapText="1"/>
    </xf>
    <xf numFmtId="0" fontId="0" fillId="18" borderId="12" xfId="0" applyFill="1" applyBorder="1" applyAlignment="1">
      <alignment horizontal="center" vertical="center" wrapText="1"/>
    </xf>
    <xf numFmtId="0" fontId="0" fillId="18" borderId="11" xfId="0" applyFill="1" applyBorder="1" applyAlignment="1">
      <alignment horizontal="center" vertical="center" wrapText="1"/>
    </xf>
    <xf numFmtId="0" fontId="0" fillId="3" borderId="3" xfId="0" applyFill="1" applyBorder="1" applyAlignment="1" applyProtection="1">
      <alignment horizontal="center" wrapText="1"/>
      <protection locked="0"/>
    </xf>
    <xf numFmtId="0" fontId="0" fillId="3" borderId="4" xfId="0" applyFill="1" applyBorder="1" applyAlignment="1" applyProtection="1">
      <alignment horizontal="center" wrapText="1"/>
      <protection locked="0"/>
    </xf>
    <xf numFmtId="0" fontId="0" fillId="3" borderId="5" xfId="0" applyFill="1" applyBorder="1" applyAlignment="1" applyProtection="1">
      <alignment horizontal="center" wrapText="1"/>
      <protection locked="0"/>
    </xf>
    <xf numFmtId="0" fontId="1" fillId="0" borderId="0" xfId="0" applyFont="1" applyBorder="1" applyAlignment="1" applyProtection="1">
      <alignment horizontal="center" wrapText="1"/>
      <protection locked="0"/>
    </xf>
    <xf numFmtId="0" fontId="0" fillId="0" borderId="1" xfId="0" applyBorder="1" applyAlignment="1" applyProtection="1">
      <alignment horizontal="center" wrapText="1"/>
      <protection locked="0"/>
    </xf>
    <xf numFmtId="0" fontId="1" fillId="0" borderId="0" xfId="0" applyFont="1" applyFill="1" applyBorder="1" applyAlignment="1" applyProtection="1">
      <alignment horizontal="center" vertical="center" wrapText="1"/>
      <protection locked="0"/>
    </xf>
    <xf numFmtId="0" fontId="0" fillId="0" borderId="3" xfId="0" applyFont="1" applyFill="1" applyBorder="1" applyAlignment="1" applyProtection="1">
      <alignment horizontal="center" wrapText="1"/>
      <protection locked="0"/>
    </xf>
    <xf numFmtId="0" fontId="0" fillId="0" borderId="4" xfId="0" applyFont="1" applyFill="1" applyBorder="1" applyAlignment="1" applyProtection="1">
      <alignment horizontal="center" wrapText="1"/>
      <protection locked="0"/>
    </xf>
    <xf numFmtId="0" fontId="0" fillId="0" borderId="5" xfId="0" applyFont="1" applyFill="1" applyBorder="1" applyAlignment="1" applyProtection="1">
      <alignment horizontal="center" wrapText="1"/>
      <protection locked="0"/>
    </xf>
    <xf numFmtId="0" fontId="0" fillId="0" borderId="0" xfId="0" applyFill="1" applyBorder="1" applyAlignment="1" applyProtection="1">
      <alignment horizontal="center" wrapText="1"/>
      <protection locked="0"/>
    </xf>
    <xf numFmtId="0" fontId="0" fillId="0" borderId="3" xfId="0" applyFont="1" applyBorder="1" applyAlignment="1" applyProtection="1">
      <alignment horizontal="center" wrapText="1"/>
      <protection locked="0"/>
    </xf>
    <xf numFmtId="0" fontId="3" fillId="0" borderId="12" xfId="0" applyFont="1" applyBorder="1" applyAlignment="1" applyProtection="1">
      <alignment horizontal="center" wrapText="1"/>
      <protection locked="0"/>
    </xf>
    <xf numFmtId="0" fontId="1" fillId="0" borderId="12" xfId="0" applyFont="1" applyBorder="1" applyAlignment="1" applyProtection="1">
      <alignment horizontal="center" wrapText="1"/>
      <protection locked="0"/>
    </xf>
    <xf numFmtId="3" fontId="0" fillId="0" borderId="3" xfId="0" applyNumberFormat="1" applyFill="1" applyBorder="1" applyAlignment="1" applyProtection="1">
      <alignment horizontal="center" wrapText="1"/>
      <protection locked="0"/>
    </xf>
    <xf numFmtId="0" fontId="0" fillId="0" borderId="5" xfId="0" applyFill="1" applyBorder="1" applyAlignment="1" applyProtection="1">
      <alignment horizontal="center" wrapText="1"/>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0" fillId="0" borderId="9" xfId="0" applyBorder="1" applyAlignment="1">
      <alignment horizontal="center" wrapText="1"/>
    </xf>
    <xf numFmtId="0" fontId="0" fillId="0" borderId="6" xfId="0" applyBorder="1" applyAlignment="1">
      <alignment horizontal="center" wrapText="1"/>
    </xf>
    <xf numFmtId="0" fontId="0" fillId="0" borderId="15" xfId="0" applyBorder="1" applyAlignment="1">
      <alignment horizontal="center" wrapText="1"/>
    </xf>
    <xf numFmtId="0" fontId="0" fillId="0" borderId="11" xfId="0" applyBorder="1" applyAlignment="1">
      <alignment horizontal="center" wrapText="1"/>
    </xf>
    <xf numFmtId="0" fontId="0" fillId="0" borderId="3" xfId="0" applyFill="1" applyBorder="1" applyAlignment="1" applyProtection="1">
      <alignment horizontal="center" wrapText="1"/>
      <protection locked="0"/>
    </xf>
    <xf numFmtId="0" fontId="0" fillId="0" borderId="5" xfId="0" applyBorder="1" applyAlignment="1">
      <alignment horizontal="center" wrapText="1"/>
    </xf>
    <xf numFmtId="1" fontId="0" fillId="0" borderId="3" xfId="0" applyNumberFormat="1" applyFill="1" applyBorder="1" applyAlignment="1" applyProtection="1">
      <alignment horizontal="center" wrapText="1"/>
      <protection locked="0"/>
    </xf>
    <xf numFmtId="0" fontId="0" fillId="0" borderId="12" xfId="0" applyBorder="1" applyAlignment="1">
      <alignment horizontal="center"/>
    </xf>
    <xf numFmtId="3" fontId="0" fillId="5" borderId="3" xfId="0" applyNumberFormat="1" applyFill="1" applyBorder="1" applyAlignment="1">
      <alignment horizontal="center" wrapText="1"/>
    </xf>
    <xf numFmtId="3" fontId="0" fillId="5" borderId="5" xfId="0" applyNumberFormat="1" applyFill="1" applyBorder="1" applyAlignment="1">
      <alignment horizontal="center" wrapText="1"/>
    </xf>
    <xf numFmtId="0" fontId="0" fillId="0" borderId="7" xfId="0" applyBorder="1" applyAlignment="1">
      <alignment horizontal="center" wrapText="1"/>
    </xf>
    <xf numFmtId="0" fontId="31" fillId="12" borderId="7" xfId="0" applyFont="1"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5" fillId="5" borderId="0" xfId="0" applyFont="1" applyFill="1" applyBorder="1" applyAlignment="1" applyProtection="1">
      <alignment horizontal="center" wrapText="1"/>
      <protection locked="0"/>
    </xf>
    <xf numFmtId="0" fontId="0" fillId="0" borderId="3" xfId="0" applyBorder="1" applyAlignment="1">
      <alignment horizont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8" fillId="0" borderId="7" xfId="0" applyFont="1" applyBorder="1" applyAlignment="1">
      <alignment horizontal="center" vertical="center" wrapText="1"/>
    </xf>
    <xf numFmtId="0" fontId="0" fillId="0" borderId="8" xfId="0" applyBorder="1" applyAlignment="1">
      <alignment wrapText="1"/>
    </xf>
    <xf numFmtId="0" fontId="0" fillId="0" borderId="9" xfId="0" applyBorder="1" applyAlignment="1">
      <alignment wrapText="1"/>
    </xf>
    <xf numFmtId="0" fontId="0" fillId="0" borderId="6" xfId="0" applyBorder="1" applyAlignment="1">
      <alignment wrapText="1"/>
    </xf>
    <xf numFmtId="0" fontId="0" fillId="0" borderId="0" xfId="0" applyBorder="1" applyAlignment="1">
      <alignment wrapText="1"/>
    </xf>
    <xf numFmtId="0" fontId="0" fillId="0" borderId="15" xfId="0" applyBorder="1" applyAlignment="1">
      <alignment wrapText="1"/>
    </xf>
    <xf numFmtId="0" fontId="0" fillId="0" borderId="10" xfId="0" applyBorder="1" applyAlignment="1">
      <alignment wrapText="1"/>
    </xf>
    <xf numFmtId="0" fontId="0" fillId="0" borderId="12" xfId="0" applyBorder="1" applyAlignment="1">
      <alignment wrapText="1"/>
    </xf>
    <xf numFmtId="0" fontId="0" fillId="0" borderId="11" xfId="0" applyBorder="1" applyAlignment="1">
      <alignment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9" fontId="35" fillId="5" borderId="18" xfId="1" applyFont="1" applyFill="1" applyBorder="1" applyAlignment="1" applyProtection="1">
      <alignment horizontal="center" wrapText="1"/>
      <protection locked="0"/>
    </xf>
    <xf numFmtId="0" fontId="35" fillId="0" borderId="19" xfId="0" applyFont="1" applyBorder="1" applyAlignment="1">
      <alignment horizontal="center" wrapText="1"/>
    </xf>
    <xf numFmtId="3" fontId="0" fillId="0" borderId="3" xfId="0" applyNumberFormat="1" applyBorder="1" applyAlignment="1">
      <alignment horizontal="center" vertical="center" wrapText="1"/>
    </xf>
    <xf numFmtId="3" fontId="0" fillId="0" borderId="5" xfId="0" applyNumberFormat="1" applyBorder="1" applyAlignment="1">
      <alignment horizontal="center" vertical="center" wrapText="1"/>
    </xf>
    <xf numFmtId="3" fontId="0" fillId="0" borderId="3" xfId="0" applyNumberFormat="1" applyBorder="1" applyAlignment="1">
      <alignment horizontal="center" wrapText="1"/>
    </xf>
    <xf numFmtId="3" fontId="0" fillId="0" borderId="5" xfId="0" applyNumberFormat="1" applyBorder="1" applyAlignment="1">
      <alignment horizontal="center" wrapText="1"/>
    </xf>
    <xf numFmtId="165" fontId="0" fillId="0" borderId="3" xfId="0" applyNumberFormat="1" applyBorder="1" applyAlignment="1">
      <alignment horizontal="center" wrapText="1"/>
    </xf>
    <xf numFmtId="165" fontId="0" fillId="0" borderId="5" xfId="0" applyNumberFormat="1" applyBorder="1" applyAlignment="1">
      <alignment horizontal="center" wrapText="1"/>
    </xf>
    <xf numFmtId="0" fontId="0" fillId="0" borderId="0" xfId="0" applyFill="1" applyBorder="1" applyAlignment="1">
      <alignment horizontal="center" vertical="center" wrapText="1"/>
    </xf>
    <xf numFmtId="0" fontId="0" fillId="0" borderId="0" xfId="0" applyAlignment="1">
      <alignment wrapText="1"/>
    </xf>
    <xf numFmtId="0" fontId="0" fillId="0" borderId="10" xfId="0" applyBorder="1" applyAlignment="1">
      <alignment horizontal="center" wrapText="1"/>
    </xf>
    <xf numFmtId="165" fontId="2" fillId="2" borderId="0" xfId="0" applyNumberFormat="1" applyFont="1" applyFill="1" applyBorder="1" applyAlignment="1">
      <alignment horizontal="right" wrapText="1"/>
    </xf>
    <xf numFmtId="0" fontId="2" fillId="0" borderId="15" xfId="0" applyFont="1" applyBorder="1" applyAlignment="1">
      <alignment wrapText="1"/>
    </xf>
    <xf numFmtId="165" fontId="2" fillId="2" borderId="12" xfId="0" applyNumberFormat="1" applyFont="1" applyFill="1" applyBorder="1" applyAlignment="1">
      <alignment horizontal="right" wrapText="1"/>
    </xf>
    <xf numFmtId="0" fontId="2" fillId="0" borderId="11" xfId="0" applyFont="1" applyBorder="1" applyAlignment="1">
      <alignment wrapText="1"/>
    </xf>
    <xf numFmtId="165" fontId="0" fillId="0" borderId="1" xfId="0" applyNumberFormat="1" applyBorder="1" applyAlignment="1">
      <alignment horizontal="center" wrapText="1"/>
    </xf>
    <xf numFmtId="0" fontId="0" fillId="0" borderId="0" xfId="0" applyBorder="1" applyAlignment="1">
      <alignment horizontal="center" wrapText="1"/>
    </xf>
    <xf numFmtId="0" fontId="0" fillId="0" borderId="0" xfId="0" applyBorder="1" applyAlignment="1">
      <alignment horizontal="right" wrapText="1"/>
    </xf>
    <xf numFmtId="0" fontId="0" fillId="0" borderId="7" xfId="0" applyFill="1" applyBorder="1" applyAlignment="1">
      <alignment horizontal="center" wrapText="1"/>
    </xf>
    <xf numFmtId="0" fontId="0" fillId="0" borderId="9" xfId="0" applyFill="1" applyBorder="1" applyAlignment="1">
      <alignment horizontal="center" wrapText="1"/>
    </xf>
    <xf numFmtId="0" fontId="0" fillId="0" borderId="8" xfId="0" applyBorder="1" applyAlignment="1">
      <alignment horizontal="center" wrapText="1"/>
    </xf>
    <xf numFmtId="0" fontId="0" fillId="0" borderId="12" xfId="0" applyBorder="1" applyAlignment="1">
      <alignment horizontal="center" wrapText="1"/>
    </xf>
    <xf numFmtId="0" fontId="0" fillId="0" borderId="0" xfId="0" applyBorder="1" applyAlignment="1">
      <alignment horizontal="center" vertical="center" wrapText="1"/>
    </xf>
    <xf numFmtId="9" fontId="0" fillId="4" borderId="1" xfId="0" applyNumberFormat="1" applyFill="1" applyBorder="1" applyAlignment="1" applyProtection="1">
      <alignment horizontal="center"/>
      <protection locked="0"/>
    </xf>
    <xf numFmtId="9" fontId="0" fillId="4" borderId="1" xfId="0" applyNumberFormat="1" applyFill="1" applyBorder="1" applyAlignment="1">
      <alignment horizontal="center"/>
    </xf>
    <xf numFmtId="0" fontId="0" fillId="5" borderId="7" xfId="0" applyFill="1" applyBorder="1" applyAlignment="1" applyProtection="1">
      <alignment horizontal="center" wrapText="1"/>
      <protection locked="0"/>
    </xf>
    <xf numFmtId="3" fontId="0" fillId="0" borderId="1" xfId="0" applyNumberFormat="1" applyBorder="1" applyAlignment="1" applyProtection="1">
      <alignment horizontal="center"/>
      <protection locked="0"/>
    </xf>
    <xf numFmtId="0" fontId="0" fillId="0" borderId="3" xfId="0" applyBorder="1" applyAlignment="1">
      <alignment horizontal="center"/>
    </xf>
    <xf numFmtId="3" fontId="35" fillId="0" borderId="6" xfId="0" applyNumberFormat="1" applyFont="1" applyFill="1" applyBorder="1" applyAlignment="1" applyProtection="1">
      <alignment horizontal="center"/>
      <protection locked="0"/>
    </xf>
    <xf numFmtId="3" fontId="35" fillId="0" borderId="20" xfId="0" applyNumberFormat="1" applyFont="1" applyFill="1" applyBorder="1" applyAlignment="1">
      <alignment horizontal="center"/>
    </xf>
    <xf numFmtId="3" fontId="35" fillId="0" borderId="21" xfId="0" applyNumberFormat="1" applyFont="1" applyFill="1" applyBorder="1" applyAlignment="1" applyProtection="1">
      <alignment horizontal="center"/>
      <protection locked="0"/>
    </xf>
    <xf numFmtId="3" fontId="35" fillId="0" borderId="22" xfId="0" applyNumberFormat="1" applyFont="1" applyFill="1" applyBorder="1" applyAlignment="1">
      <alignment horizontal="center"/>
    </xf>
    <xf numFmtId="3" fontId="35" fillId="0" borderId="0" xfId="0" applyNumberFormat="1" applyFont="1" applyFill="1" applyBorder="1" applyAlignment="1" applyProtection="1">
      <alignment horizontal="center"/>
      <protection locked="0"/>
    </xf>
    <xf numFmtId="1" fontId="35" fillId="5" borderId="21" xfId="1" applyNumberFormat="1" applyFont="1" applyFill="1" applyBorder="1" applyAlignment="1" applyProtection="1">
      <alignment horizontal="center" wrapText="1"/>
      <protection locked="0"/>
    </xf>
    <xf numFmtId="1" fontId="35" fillId="0" borderId="22" xfId="0" applyNumberFormat="1" applyFont="1" applyBorder="1" applyAlignment="1">
      <alignment horizontal="center" wrapText="1"/>
    </xf>
    <xf numFmtId="9" fontId="0" fillId="0" borderId="3" xfId="0" applyNumberFormat="1" applyFill="1" applyBorder="1" applyAlignment="1" applyProtection="1">
      <alignment horizontal="center" wrapText="1"/>
      <protection locked="0"/>
    </xf>
    <xf numFmtId="3" fontId="0" fillId="0" borderId="0" xfId="0" applyNumberFormat="1" applyBorder="1" applyAlignment="1">
      <alignment horizontal="center" wrapText="1"/>
    </xf>
    <xf numFmtId="0" fontId="1" fillId="0" borderId="3" xfId="0" applyFont="1" applyBorder="1" applyAlignment="1">
      <alignment horizontal="center" wrapText="1"/>
    </xf>
    <xf numFmtId="0" fontId="1" fillId="0" borderId="5" xfId="0" applyFont="1" applyBorder="1" applyAlignment="1">
      <alignment horizontal="center" wrapText="1"/>
    </xf>
    <xf numFmtId="3" fontId="0" fillId="0" borderId="0" xfId="0" applyNumberFormat="1" applyBorder="1" applyAlignment="1">
      <alignment horizontal="center" vertical="center" wrapText="1"/>
    </xf>
    <xf numFmtId="3" fontId="0" fillId="0" borderId="6" xfId="0" applyNumberFormat="1" applyBorder="1" applyAlignment="1">
      <alignment horizontal="center" wrapText="1"/>
    </xf>
    <xf numFmtId="3" fontId="1" fillId="0" borderId="0" xfId="0" applyNumberFormat="1" applyFont="1" applyFill="1" applyBorder="1" applyAlignment="1">
      <alignment horizontal="left" vertical="center" wrapText="1"/>
    </xf>
    <xf numFmtId="0" fontId="0" fillId="0" borderId="0" xfId="0" applyAlignment="1">
      <alignment horizontal="left" vertical="center" wrapText="1"/>
    </xf>
    <xf numFmtId="0" fontId="31" fillId="6" borderId="7" xfId="0" applyFont="1" applyFill="1" applyBorder="1" applyAlignment="1">
      <alignment horizontal="center" vertical="center" wrapText="1"/>
    </xf>
    <xf numFmtId="0" fontId="0" fillId="6" borderId="8" xfId="0" applyFill="1" applyBorder="1" applyAlignment="1">
      <alignment horizontal="center" vertical="center" wrapText="1"/>
    </xf>
    <xf numFmtId="0" fontId="0" fillId="6" borderId="9" xfId="0" applyFill="1" applyBorder="1" applyAlignment="1">
      <alignment horizontal="center" vertical="center" wrapText="1"/>
    </xf>
    <xf numFmtId="0" fontId="0" fillId="6" borderId="6" xfId="0" applyFill="1" applyBorder="1" applyAlignment="1">
      <alignment horizontal="center" vertical="center" wrapText="1"/>
    </xf>
    <xf numFmtId="0" fontId="0" fillId="6" borderId="0" xfId="0" applyFill="1" applyAlignment="1">
      <alignment horizontal="center" vertical="center" wrapText="1"/>
    </xf>
    <xf numFmtId="0" fontId="0" fillId="6" borderId="15"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12" xfId="0" applyFill="1" applyBorder="1" applyAlignment="1">
      <alignment horizontal="center" vertical="center" wrapText="1"/>
    </xf>
    <xf numFmtId="0" fontId="0" fillId="6" borderId="11" xfId="0" applyFill="1" applyBorder="1" applyAlignment="1">
      <alignment horizontal="center" vertical="center" wrapText="1"/>
    </xf>
    <xf numFmtId="0" fontId="0" fillId="0" borderId="12" xfId="0" applyBorder="1" applyAlignment="1" applyProtection="1">
      <alignment horizontal="right"/>
      <protection locked="0"/>
    </xf>
    <xf numFmtId="165" fontId="0" fillId="4" borderId="3" xfId="0" applyNumberFormat="1" applyFill="1" applyBorder="1" applyAlignment="1">
      <alignment horizontal="center" wrapText="1"/>
    </xf>
    <xf numFmtId="165" fontId="0" fillId="4" borderId="5" xfId="0" applyNumberFormat="1" applyFill="1" applyBorder="1" applyAlignment="1">
      <alignment horizont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Border="1" applyAlignment="1">
      <alignment horizontal="center" vertical="center" wrapText="1"/>
    </xf>
    <xf numFmtId="3" fontId="0" fillId="4" borderId="3" xfId="0" applyNumberFormat="1" applyFill="1" applyBorder="1" applyAlignment="1">
      <alignment horizontal="center" vertical="center" wrapText="1"/>
    </xf>
    <xf numFmtId="3" fontId="0" fillId="4" borderId="5" xfId="0" applyNumberFormat="1" applyFill="1" applyBorder="1" applyAlignment="1">
      <alignment horizontal="center" vertical="center" wrapText="1"/>
    </xf>
    <xf numFmtId="3" fontId="0"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3" xfId="0" applyFill="1" applyBorder="1" applyAlignment="1">
      <alignment horizontal="center" wrapText="1"/>
    </xf>
    <xf numFmtId="3" fontId="0" fillId="0" borderId="7" xfId="0" applyNumberFormat="1"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1" fontId="0" fillId="0" borderId="3" xfId="0" applyNumberFormat="1" applyFont="1" applyFill="1" applyBorder="1" applyAlignment="1" applyProtection="1">
      <alignment horizontal="center" wrapText="1"/>
      <protection locked="0"/>
    </xf>
    <xf numFmtId="0" fontId="0" fillId="0" borderId="4" xfId="0" applyFill="1" applyBorder="1" applyAlignment="1" applyProtection="1">
      <alignment horizontal="center" wrapText="1"/>
      <protection locked="0"/>
    </xf>
    <xf numFmtId="0" fontId="0" fillId="0" borderId="11" xfId="0" applyBorder="1" applyAlignment="1" applyProtection="1">
      <alignment horizontal="left" wrapText="1"/>
      <protection locked="0"/>
    </xf>
    <xf numFmtId="3" fontId="0" fillId="0" borderId="3" xfId="0" applyNumberFormat="1" applyBorder="1" applyAlignment="1">
      <alignment horizontal="right" vertical="center" wrapText="1"/>
    </xf>
    <xf numFmtId="3" fontId="0" fillId="0" borderId="4" xfId="0" applyNumberFormat="1" applyBorder="1" applyAlignment="1">
      <alignment horizontal="right" vertical="center" wrapText="1"/>
    </xf>
    <xf numFmtId="3" fontId="0" fillId="0" borderId="4" xfId="0" applyNumberFormat="1" applyBorder="1" applyAlignment="1">
      <alignment horizontal="left" vertical="center" wrapText="1"/>
    </xf>
    <xf numFmtId="3" fontId="0" fillId="0" borderId="5" xfId="0" applyNumberFormat="1" applyBorder="1" applyAlignment="1">
      <alignment horizontal="left" vertic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3" fontId="0" fillId="0" borderId="10" xfId="0" applyNumberFormat="1" applyBorder="1" applyAlignment="1">
      <alignment horizontal="right" vertical="center" wrapText="1"/>
    </xf>
    <xf numFmtId="3" fontId="0" fillId="0" borderId="12" xfId="0" applyNumberFormat="1" applyBorder="1" applyAlignment="1">
      <alignment horizontal="right" vertical="center" wrapText="1"/>
    </xf>
    <xf numFmtId="3" fontId="0" fillId="0" borderId="12" xfId="0" applyNumberFormat="1" applyBorder="1" applyAlignment="1">
      <alignment horizontal="left" vertical="center" wrapText="1"/>
    </xf>
    <xf numFmtId="3" fontId="0" fillId="0" borderId="11" xfId="0" applyNumberFormat="1" applyBorder="1" applyAlignment="1">
      <alignment horizontal="left" vertical="center" wrapText="1"/>
    </xf>
    <xf numFmtId="3" fontId="0" fillId="0" borderId="7" xfId="0" applyNumberFormat="1" applyBorder="1" applyAlignment="1">
      <alignment horizontal="right" vertical="center" wrapText="1"/>
    </xf>
    <xf numFmtId="3" fontId="0" fillId="0" borderId="8" xfId="0" applyNumberFormat="1" applyBorder="1" applyAlignment="1">
      <alignment horizontal="right" vertical="center" wrapText="1"/>
    </xf>
    <xf numFmtId="3" fontId="0" fillId="0" borderId="8" xfId="0" applyNumberFormat="1" applyBorder="1" applyAlignment="1">
      <alignment horizontal="left" vertical="center" wrapText="1"/>
    </xf>
    <xf numFmtId="3" fontId="0" fillId="0" borderId="9" xfId="0" applyNumberFormat="1" applyBorder="1" applyAlignment="1">
      <alignment horizontal="left" vertical="center" wrapText="1"/>
    </xf>
    <xf numFmtId="2" fontId="0" fillId="3" borderId="7" xfId="0" applyNumberFormat="1" applyFill="1" applyBorder="1" applyAlignment="1" applyProtection="1">
      <alignment horizontal="center" wrapText="1"/>
      <protection locked="0"/>
    </xf>
    <xf numFmtId="0" fontId="0" fillId="5" borderId="8" xfId="0" applyFill="1" applyBorder="1" applyAlignment="1" applyProtection="1">
      <alignment horizontal="center" wrapText="1"/>
      <protection locked="0"/>
    </xf>
    <xf numFmtId="0" fontId="2" fillId="5" borderId="10" xfId="0" applyFont="1" applyFill="1" applyBorder="1" applyAlignment="1" applyProtection="1">
      <alignment horizontal="right" wrapText="1"/>
      <protection locked="0"/>
    </xf>
    <xf numFmtId="0" fontId="2" fillId="0" borderId="12" xfId="0" applyFont="1" applyBorder="1" applyAlignment="1">
      <alignment horizontal="right" wrapText="1"/>
    </xf>
    <xf numFmtId="0" fontId="2" fillId="0" borderId="12" xfId="0" applyFont="1" applyBorder="1" applyAlignment="1" applyProtection="1">
      <alignment horizontal="left" wrapText="1"/>
      <protection locked="0"/>
    </xf>
    <xf numFmtId="0" fontId="2" fillId="0" borderId="11" xfId="0" applyFont="1" applyBorder="1" applyAlignment="1">
      <alignment horizontal="left" wrapText="1"/>
    </xf>
    <xf numFmtId="0" fontId="0" fillId="10" borderId="0" xfId="0" applyFill="1" applyBorder="1" applyAlignment="1" applyProtection="1">
      <alignment horizontal="center" wrapText="1"/>
    </xf>
    <xf numFmtId="0" fontId="0" fillId="10" borderId="0" xfId="0" applyFill="1" applyBorder="1" applyAlignment="1">
      <alignment horizontal="center" wrapText="1"/>
    </xf>
    <xf numFmtId="0" fontId="1" fillId="24" borderId="3" xfId="0" applyFont="1" applyFill="1" applyBorder="1" applyAlignment="1" applyProtection="1">
      <alignment horizontal="center" wrapText="1"/>
    </xf>
    <xf numFmtId="0" fontId="1" fillId="24" borderId="4" xfId="0" applyFont="1" applyFill="1" applyBorder="1" applyAlignment="1">
      <alignment wrapText="1"/>
    </xf>
    <xf numFmtId="0" fontId="1" fillId="24" borderId="5" xfId="0" applyFont="1" applyFill="1" applyBorder="1" applyAlignment="1">
      <alignment wrapText="1"/>
    </xf>
    <xf numFmtId="0" fontId="28" fillId="24" borderId="7" xfId="0" applyFont="1" applyFill="1" applyBorder="1" applyAlignment="1" applyProtection="1">
      <alignment horizontal="center" vertical="center" wrapText="1"/>
    </xf>
    <xf numFmtId="0" fontId="0" fillId="24" borderId="8" xfId="0" applyFill="1" applyBorder="1" applyAlignment="1">
      <alignment horizontal="center" vertical="center" wrapText="1"/>
    </xf>
    <xf numFmtId="0" fontId="0" fillId="24" borderId="10" xfId="0" applyFill="1" applyBorder="1" applyAlignment="1">
      <alignment horizontal="center" vertical="center" wrapText="1"/>
    </xf>
    <xf numFmtId="0" fontId="0" fillId="24" borderId="12" xfId="0" applyFill="1" applyBorder="1" applyAlignment="1">
      <alignment horizontal="center" vertical="center" wrapText="1"/>
    </xf>
    <xf numFmtId="0" fontId="30" fillId="5" borderId="3" xfId="0" applyFont="1" applyFill="1" applyBorder="1" applyAlignment="1" applyProtection="1">
      <alignment horizontal="center" vertical="center" wrapText="1"/>
    </xf>
    <xf numFmtId="0" fontId="30" fillId="5" borderId="4" xfId="0" applyFont="1" applyFill="1" applyBorder="1" applyAlignment="1" applyProtection="1">
      <alignment horizontal="center" vertical="center" wrapText="1"/>
    </xf>
    <xf numFmtId="0" fontId="0" fillId="0" borderId="4" xfId="0" applyBorder="1" applyAlignment="1">
      <alignment horizontal="center" wrapText="1"/>
    </xf>
    <xf numFmtId="3" fontId="0" fillId="0" borderId="7" xfId="0" applyNumberFormat="1" applyFill="1" applyBorder="1" applyAlignment="1">
      <alignment horizontal="center" vertical="center" wrapText="1"/>
    </xf>
    <xf numFmtId="3" fontId="0" fillId="0" borderId="8" xfId="0" applyNumberFormat="1" applyFill="1" applyBorder="1" applyAlignment="1">
      <alignment horizontal="center" vertical="center" wrapText="1"/>
    </xf>
    <xf numFmtId="2" fontId="0" fillId="3" borderId="3" xfId="0" applyNumberFormat="1" applyFill="1" applyBorder="1" applyAlignment="1" applyProtection="1">
      <alignment horizontal="center" wrapText="1"/>
    </xf>
    <xf numFmtId="2" fontId="0" fillId="2" borderId="3" xfId="0" applyNumberFormat="1" applyFill="1" applyBorder="1" applyAlignment="1" applyProtection="1">
      <alignment horizontal="center" wrapText="1"/>
    </xf>
    <xf numFmtId="3" fontId="5" fillId="0" borderId="8" xfId="0" applyNumberFormat="1" applyFont="1" applyFill="1" applyBorder="1" applyAlignment="1" applyProtection="1">
      <alignment horizontal="left" wrapText="1"/>
    </xf>
    <xf numFmtId="0" fontId="0" fillId="0" borderId="9" xfId="0" applyBorder="1" applyAlignment="1">
      <alignment horizontal="left" wrapText="1"/>
    </xf>
    <xf numFmtId="3" fontId="0" fillId="0" borderId="12" xfId="0" applyNumberFormat="1" applyFill="1" applyBorder="1" applyAlignment="1" applyProtection="1">
      <alignment horizontal="left" wrapText="1"/>
    </xf>
    <xf numFmtId="0" fontId="0" fillId="0" borderId="11" xfId="0" applyBorder="1" applyAlignment="1">
      <alignment horizontal="left" wrapText="1"/>
    </xf>
    <xf numFmtId="3" fontId="5" fillId="0" borderId="7" xfId="0" applyNumberFormat="1" applyFont="1" applyFill="1" applyBorder="1" applyAlignment="1" applyProtection="1">
      <alignment horizontal="right" wrapText="1"/>
    </xf>
    <xf numFmtId="0" fontId="0" fillId="0" borderId="8" xfId="0" applyBorder="1" applyAlignment="1">
      <alignment horizontal="right" wrapText="1"/>
    </xf>
    <xf numFmtId="3" fontId="0" fillId="0" borderId="10" xfId="0" applyNumberFormat="1" applyFill="1" applyBorder="1" applyAlignment="1" applyProtection="1">
      <alignment horizontal="right" wrapText="1"/>
    </xf>
    <xf numFmtId="0" fontId="0" fillId="0" borderId="12" xfId="0" applyBorder="1" applyAlignment="1">
      <alignment horizontal="right"/>
    </xf>
    <xf numFmtId="0" fontId="0" fillId="15" borderId="3" xfId="0" applyFill="1" applyBorder="1" applyAlignment="1" applyProtection="1">
      <alignment horizontal="center" wrapText="1"/>
    </xf>
    <xf numFmtId="0" fontId="0" fillId="0" borderId="4" xfId="0" applyBorder="1" applyAlignment="1">
      <alignment wrapText="1"/>
    </xf>
    <xf numFmtId="0" fontId="0" fillId="0" borderId="5" xfId="0" applyBorder="1" applyAlignment="1">
      <alignment wrapText="1"/>
    </xf>
    <xf numFmtId="0" fontId="0" fillId="3" borderId="1" xfId="0" applyFill="1" applyBorder="1" applyAlignment="1" applyProtection="1">
      <alignment horizontal="center" vertical="center" wrapText="1"/>
    </xf>
    <xf numFmtId="0" fontId="0" fillId="0" borderId="7" xfId="0" applyFill="1" applyBorder="1" applyAlignment="1" applyProtection="1">
      <alignment horizontal="center" wrapText="1"/>
    </xf>
    <xf numFmtId="0" fontId="20" fillId="3" borderId="3" xfId="0" applyFont="1" applyFill="1" applyBorder="1" applyAlignment="1" applyProtection="1">
      <alignment horizontal="center" wrapText="1"/>
    </xf>
    <xf numFmtId="0" fontId="20" fillId="3" borderId="4" xfId="0" applyFont="1" applyFill="1" applyBorder="1" applyAlignment="1" applyProtection="1">
      <alignment horizontal="center" wrapText="1"/>
    </xf>
    <xf numFmtId="0" fontId="20" fillId="2" borderId="6" xfId="0" applyFont="1" applyFill="1" applyBorder="1" applyAlignment="1" applyProtection="1">
      <alignment horizontal="center" wrapText="1"/>
    </xf>
    <xf numFmtId="0" fontId="20" fillId="2" borderId="15" xfId="0" applyFont="1" applyFill="1" applyBorder="1" applyAlignment="1" applyProtection="1">
      <alignment horizontal="center" wrapText="1"/>
    </xf>
    <xf numFmtId="0" fontId="19" fillId="2" borderId="7" xfId="0" applyFont="1" applyFill="1" applyBorder="1" applyAlignment="1" applyProtection="1">
      <alignment horizontal="center" wrapText="1"/>
    </xf>
    <xf numFmtId="0" fontId="19" fillId="2" borderId="9" xfId="0" applyFont="1" applyFill="1" applyBorder="1" applyAlignment="1" applyProtection="1">
      <alignment horizontal="center" wrapText="1"/>
    </xf>
    <xf numFmtId="0" fontId="22" fillId="5" borderId="6" xfId="0" applyFont="1" applyFill="1" applyBorder="1" applyAlignment="1" applyProtection="1">
      <alignment horizontal="center" wrapText="1"/>
    </xf>
    <xf numFmtId="0" fontId="22" fillId="5" borderId="15" xfId="0" applyFont="1" applyFill="1" applyBorder="1" applyAlignment="1" applyProtection="1">
      <alignment horizontal="center" wrapText="1"/>
    </xf>
    <xf numFmtId="0" fontId="20" fillId="5" borderId="6" xfId="0" applyFont="1" applyFill="1" applyBorder="1" applyAlignment="1" applyProtection="1">
      <alignment horizontal="center" wrapText="1"/>
    </xf>
    <xf numFmtId="0" fontId="20" fillId="5" borderId="15" xfId="0" applyFont="1" applyFill="1" applyBorder="1" applyAlignment="1" applyProtection="1">
      <alignment horizontal="center" wrapText="1"/>
    </xf>
    <xf numFmtId="0" fontId="20" fillId="2" borderId="6" xfId="0" quotePrefix="1" applyFont="1" applyFill="1" applyBorder="1" applyAlignment="1" applyProtection="1">
      <alignment horizontal="center" wrapText="1"/>
    </xf>
    <xf numFmtId="0" fontId="19" fillId="5" borderId="6" xfId="0" applyFont="1" applyFill="1" applyBorder="1" applyAlignment="1" applyProtection="1">
      <alignment horizontal="center" wrapText="1"/>
    </xf>
    <xf numFmtId="0" fontId="19" fillId="5" borderId="15" xfId="0" applyFont="1" applyFill="1" applyBorder="1" applyAlignment="1" applyProtection="1">
      <alignment horizontal="center" wrapText="1"/>
    </xf>
    <xf numFmtId="0" fontId="22" fillId="5" borderId="10" xfId="0" applyFont="1" applyFill="1" applyBorder="1" applyAlignment="1" applyProtection="1">
      <alignment horizontal="center" wrapText="1"/>
    </xf>
    <xf numFmtId="0" fontId="22" fillId="5" borderId="11" xfId="0" applyFont="1" applyFill="1" applyBorder="1" applyAlignment="1" applyProtection="1">
      <alignment horizontal="center" wrapText="1"/>
    </xf>
    <xf numFmtId="0" fontId="9" fillId="5" borderId="10" xfId="0" applyFont="1" applyFill="1" applyBorder="1" applyAlignment="1" applyProtection="1">
      <alignment horizontal="center" wrapText="1"/>
    </xf>
    <xf numFmtId="0" fontId="9" fillId="5" borderId="11" xfId="0" applyFont="1" applyFill="1" applyBorder="1" applyAlignment="1" applyProtection="1">
      <alignment horizontal="center" wrapText="1"/>
    </xf>
    <xf numFmtId="0" fontId="20" fillId="2" borderId="7" xfId="0" applyFont="1" applyFill="1" applyBorder="1" applyAlignment="1" applyProtection="1">
      <alignment horizontal="center" wrapText="1"/>
    </xf>
    <xf numFmtId="0" fontId="20" fillId="2" borderId="9" xfId="0" applyFont="1" applyFill="1" applyBorder="1" applyAlignment="1" applyProtection="1">
      <alignment horizontal="center" wrapText="1"/>
    </xf>
    <xf numFmtId="0" fontId="0" fillId="0" borderId="8" xfId="0" applyFill="1" applyBorder="1" applyAlignment="1">
      <alignment horizontal="center" wrapText="1"/>
    </xf>
    <xf numFmtId="3" fontId="0" fillId="0" borderId="12" xfId="0" applyNumberFormat="1" applyFill="1" applyBorder="1" applyAlignment="1">
      <alignment horizontal="center" vertical="center" wrapText="1"/>
    </xf>
    <xf numFmtId="0" fontId="0" fillId="0" borderId="12" xfId="0" applyFill="1" applyBorder="1" applyAlignment="1">
      <alignment horizontal="center"/>
    </xf>
    <xf numFmtId="3" fontId="0" fillId="0" borderId="4" xfId="0" applyNumberFormat="1" applyFill="1" applyBorder="1" applyAlignment="1">
      <alignment horizontal="center" vertical="center" wrapText="1"/>
    </xf>
    <xf numFmtId="3" fontId="1" fillId="0" borderId="7" xfId="0" applyNumberFormat="1" applyFont="1" applyFill="1" applyBorder="1" applyAlignment="1">
      <alignment horizontal="center" vertical="center" wrapText="1"/>
    </xf>
    <xf numFmtId="3" fontId="1" fillId="0" borderId="8" xfId="0" applyNumberFormat="1" applyFont="1" applyFill="1" applyBorder="1" applyAlignment="1">
      <alignment horizontal="center" vertical="center" wrapText="1"/>
    </xf>
    <xf numFmtId="0" fontId="19" fillId="5" borderId="10" xfId="0" applyFont="1" applyFill="1" applyBorder="1" applyAlignment="1" applyProtection="1">
      <alignment horizontal="center" wrapText="1"/>
    </xf>
    <xf numFmtId="0" fontId="19" fillId="5" borderId="11" xfId="0" applyFont="1" applyFill="1" applyBorder="1" applyAlignment="1" applyProtection="1">
      <alignment horizontal="center" wrapText="1"/>
    </xf>
    <xf numFmtId="0" fontId="0" fillId="3" borderId="0" xfId="0" applyFill="1" applyBorder="1" applyAlignment="1" applyProtection="1">
      <alignment horizontal="right" wrapText="1"/>
    </xf>
    <xf numFmtId="0" fontId="0" fillId="3" borderId="0" xfId="0" applyFill="1" applyBorder="1" applyAlignment="1" applyProtection="1">
      <alignment wrapText="1"/>
    </xf>
    <xf numFmtId="3" fontId="0" fillId="0" borderId="14" xfId="0" applyNumberFormat="1" applyFont="1" applyFill="1" applyBorder="1" applyAlignment="1" applyProtection="1">
      <alignment horizontal="center" vertical="center" wrapText="1"/>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Fill="1" applyBorder="1" applyAlignment="1" applyProtection="1">
      <alignment horizontal="center" wrapText="1"/>
    </xf>
    <xf numFmtId="3" fontId="0" fillId="0" borderId="7" xfId="0" applyNumberFormat="1" applyFill="1" applyBorder="1" applyAlignment="1" applyProtection="1">
      <alignment horizontal="right" vertical="center"/>
    </xf>
    <xf numFmtId="0" fontId="0" fillId="0" borderId="6" xfId="0" applyBorder="1" applyAlignment="1">
      <alignment horizontal="right" vertical="center"/>
    </xf>
    <xf numFmtId="0" fontId="0" fillId="0" borderId="10" xfId="0" applyBorder="1" applyAlignment="1">
      <alignment horizontal="right" vertical="center"/>
    </xf>
    <xf numFmtId="0" fontId="0" fillId="0" borderId="9" xfId="0" applyFont="1" applyFill="1" applyBorder="1" applyAlignment="1" applyProtection="1">
      <alignment horizontal="left" vertical="center" wrapText="1"/>
    </xf>
    <xf numFmtId="0" fontId="0" fillId="0" borderId="15" xfId="0" applyBorder="1" applyAlignment="1">
      <alignment horizontal="left" vertical="center" wrapText="1"/>
    </xf>
    <xf numFmtId="0" fontId="0" fillId="0" borderId="11" xfId="0" applyBorder="1" applyAlignment="1">
      <alignment horizontal="left" vertical="center" wrapText="1"/>
    </xf>
    <xf numFmtId="0" fontId="0" fillId="0" borderId="9"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wrapText="1"/>
    </xf>
    <xf numFmtId="3" fontId="0" fillId="0" borderId="25" xfId="0" applyNumberFormat="1" applyBorder="1" applyAlignment="1">
      <alignment horizontal="center" wrapText="1"/>
    </xf>
    <xf numFmtId="0" fontId="0" fillId="0" borderId="17" xfId="0" applyBorder="1" applyAlignment="1">
      <alignment horizontal="center" wrapText="1"/>
    </xf>
    <xf numFmtId="3" fontId="0" fillId="0" borderId="10" xfId="0" applyNumberFormat="1" applyBorder="1" applyAlignment="1">
      <alignment horizontal="center" wrapText="1"/>
    </xf>
    <xf numFmtId="0" fontId="0" fillId="0" borderId="7" xfId="0" applyFont="1" applyFill="1" applyBorder="1" applyAlignment="1" applyProtection="1">
      <alignment horizontal="center" wrapText="1"/>
    </xf>
    <xf numFmtId="3" fontId="20" fillId="0" borderId="7" xfId="0" applyNumberFormat="1" applyFont="1" applyFill="1" applyBorder="1" applyAlignment="1">
      <alignment horizontal="center" vertical="center" wrapText="1"/>
    </xf>
    <xf numFmtId="3" fontId="20" fillId="0" borderId="8" xfId="0" applyNumberFormat="1" applyFont="1" applyFill="1" applyBorder="1" applyAlignment="1">
      <alignment horizontal="center" vertical="center" wrapText="1"/>
    </xf>
    <xf numFmtId="0" fontId="0" fillId="15" borderId="4" xfId="0" applyFill="1" applyBorder="1" applyAlignment="1">
      <alignment wrapText="1"/>
    </xf>
    <xf numFmtId="0" fontId="0" fillId="15" borderId="5" xfId="0" applyFill="1" applyBorder="1" applyAlignment="1">
      <alignment wrapText="1"/>
    </xf>
    <xf numFmtId="3" fontId="0" fillId="0" borderId="25" xfId="0" applyNumberFormat="1" applyFont="1" applyFill="1" applyBorder="1" applyAlignment="1" applyProtection="1">
      <alignment horizontal="center" wrapText="1"/>
    </xf>
    <xf numFmtId="0" fontId="0" fillId="0" borderId="16" xfId="0" applyBorder="1" applyAlignment="1">
      <alignment horizontal="center" wrapText="1"/>
    </xf>
    <xf numFmtId="3" fontId="0" fillId="0" borderId="21" xfId="0" applyNumberFormat="1" applyFont="1" applyFill="1" applyBorder="1" applyAlignment="1" applyProtection="1">
      <alignment horizontal="center" wrapText="1"/>
    </xf>
    <xf numFmtId="0" fontId="0" fillId="0" borderId="24" xfId="0" applyBorder="1" applyAlignment="1">
      <alignment horizontal="center" wrapText="1"/>
    </xf>
    <xf numFmtId="3" fontId="0" fillId="0" borderId="10" xfId="0" applyNumberFormat="1" applyFont="1" applyFill="1" applyBorder="1" applyAlignment="1" applyProtection="1">
      <alignment horizontal="center" wrapText="1"/>
    </xf>
    <xf numFmtId="0" fontId="0" fillId="0" borderId="25" xfId="0" applyFont="1" applyFill="1" applyBorder="1" applyAlignment="1" applyProtection="1">
      <alignment horizontal="center" wrapText="1"/>
    </xf>
    <xf numFmtId="3" fontId="0" fillId="0" borderId="26" xfId="0" applyNumberFormat="1" applyFill="1" applyBorder="1" applyAlignment="1" applyProtection="1">
      <alignment horizontal="center" wrapText="1"/>
    </xf>
    <xf numFmtId="0" fontId="0" fillId="0" borderId="28" xfId="0" applyBorder="1" applyAlignment="1">
      <alignment horizontal="center" wrapText="1"/>
    </xf>
    <xf numFmtId="3" fontId="0" fillId="0" borderId="10" xfId="0" applyNumberFormat="1" applyFill="1" applyBorder="1" applyAlignment="1" applyProtection="1">
      <alignment horizontal="center" wrapText="1"/>
    </xf>
    <xf numFmtId="3" fontId="0" fillId="0" borderId="7" xfId="0" applyNumberFormat="1" applyFill="1" applyBorder="1" applyAlignment="1" applyProtection="1">
      <alignment horizontal="center" wrapText="1"/>
    </xf>
    <xf numFmtId="0" fontId="27" fillId="0" borderId="3" xfId="0" applyFont="1" applyFill="1" applyBorder="1" applyAlignment="1">
      <alignment horizontal="center" wrapText="1"/>
    </xf>
    <xf numFmtId="0" fontId="0" fillId="0" borderId="5" xfId="0" applyFill="1" applyBorder="1" applyAlignment="1">
      <alignment horizontal="center" wrapText="1"/>
    </xf>
    <xf numFmtId="9" fontId="0" fillId="0" borderId="28" xfId="0" applyNumberFormat="1" applyFill="1" applyBorder="1" applyAlignment="1" applyProtection="1">
      <alignment horizontal="center" wrapText="1"/>
    </xf>
    <xf numFmtId="9" fontId="0" fillId="0" borderId="28" xfId="0" applyNumberFormat="1" applyBorder="1" applyAlignment="1">
      <alignment horizontal="center" wrapText="1"/>
    </xf>
    <xf numFmtId="9" fontId="0" fillId="0" borderId="26" xfId="0" applyNumberFormat="1" applyFill="1" applyBorder="1" applyAlignment="1" applyProtection="1">
      <alignment horizontal="center" wrapText="1"/>
    </xf>
    <xf numFmtId="9" fontId="0" fillId="0" borderId="27" xfId="0" applyNumberFormat="1" applyBorder="1" applyAlignment="1">
      <alignment horizontal="center" wrapText="1"/>
    </xf>
    <xf numFmtId="0" fontId="0" fillId="0" borderId="18" xfId="0" applyFont="1" applyFill="1" applyBorder="1" applyAlignment="1" applyProtection="1">
      <alignment horizontal="center" wrapText="1"/>
    </xf>
    <xf numFmtId="0" fontId="0" fillId="0" borderId="23" xfId="0" applyBorder="1" applyAlignment="1">
      <alignment horizontal="center" wrapText="1"/>
    </xf>
    <xf numFmtId="0" fontId="0" fillId="2" borderId="3" xfId="0" applyFill="1" applyBorder="1" applyAlignment="1" applyProtection="1">
      <alignment horizontal="center" wrapText="1"/>
    </xf>
    <xf numFmtId="0" fontId="0" fillId="2" borderId="4" xfId="0" applyFill="1" applyBorder="1" applyAlignment="1">
      <alignment wrapText="1"/>
    </xf>
    <xf numFmtId="0" fontId="0" fillId="2" borderId="5" xfId="0" applyFill="1" applyBorder="1" applyAlignment="1">
      <alignment wrapText="1"/>
    </xf>
    <xf numFmtId="0" fontId="0" fillId="0" borderId="21" xfId="0" applyFont="1" applyFill="1" applyBorder="1" applyAlignment="1" applyProtection="1">
      <alignment horizontal="center" wrapText="1"/>
    </xf>
    <xf numFmtId="0" fontId="0" fillId="0" borderId="10" xfId="0" applyFont="1" applyFill="1" applyBorder="1" applyAlignment="1" applyProtection="1">
      <alignment horizontal="center" wrapText="1"/>
    </xf>
    <xf numFmtId="3" fontId="0" fillId="0" borderId="7" xfId="0" applyNumberFormat="1" applyBorder="1" applyAlignment="1">
      <alignment horizontal="center" wrapText="1"/>
    </xf>
    <xf numFmtId="0" fontId="0" fillId="0" borderId="27" xfId="0" applyBorder="1" applyAlignment="1">
      <alignment horizontal="center" wrapText="1"/>
    </xf>
    <xf numFmtId="3" fontId="0" fillId="0" borderId="1" xfId="0" applyNumberFormat="1" applyFill="1" applyBorder="1" applyAlignment="1" applyProtection="1">
      <alignment horizontal="center" wrapText="1"/>
    </xf>
    <xf numFmtId="0" fontId="0" fillId="0" borderId="1" xfId="0" applyBorder="1" applyAlignment="1">
      <alignment horizontal="center" wrapText="1"/>
    </xf>
    <xf numFmtId="0" fontId="0" fillId="0" borderId="13" xfId="0" applyBorder="1" applyAlignment="1">
      <alignment horizontal="center" wrapText="1"/>
    </xf>
    <xf numFmtId="9" fontId="0" fillId="0" borderId="7" xfId="0" applyNumberFormat="1" applyFill="1" applyBorder="1" applyAlignment="1" applyProtection="1">
      <alignment horizontal="center" wrapText="1"/>
    </xf>
    <xf numFmtId="9" fontId="0" fillId="0" borderId="9" xfId="0" applyNumberFormat="1" applyBorder="1" applyAlignment="1">
      <alignment horizontal="center" wrapText="1"/>
    </xf>
    <xf numFmtId="3" fontId="0" fillId="0" borderId="26" xfId="0" applyNumberFormat="1" applyBorder="1" applyAlignment="1">
      <alignment horizontal="center" wrapText="1"/>
    </xf>
    <xf numFmtId="0" fontId="0" fillId="3" borderId="4" xfId="0" applyFill="1" applyBorder="1" applyAlignment="1" applyProtection="1">
      <alignment horizontal="center" wrapText="1"/>
    </xf>
    <xf numFmtId="0" fontId="0" fillId="3" borderId="5" xfId="0" applyFill="1" applyBorder="1" applyAlignment="1" applyProtection="1">
      <alignment horizontal="center" wrapText="1"/>
    </xf>
    <xf numFmtId="3" fontId="0" fillId="0" borderId="1" xfId="0" applyNumberFormat="1" applyFont="1" applyFill="1" applyBorder="1" applyAlignment="1" applyProtection="1">
      <alignment horizontal="center" wrapText="1"/>
    </xf>
    <xf numFmtId="0" fontId="0" fillId="0" borderId="1" xfId="0" applyFill="1" applyBorder="1" applyAlignment="1" applyProtection="1">
      <alignment horizontal="center" wrapText="1"/>
    </xf>
    <xf numFmtId="0" fontId="1" fillId="0" borderId="0" xfId="0" applyFont="1" applyFill="1" applyBorder="1" applyAlignment="1" applyProtection="1">
      <alignment horizontal="center" wrapText="1"/>
    </xf>
    <xf numFmtId="0" fontId="0" fillId="0" borderId="0" xfId="0" applyFill="1" applyBorder="1" applyAlignment="1" applyProtection="1">
      <alignment horizontal="center" wrapText="1"/>
    </xf>
    <xf numFmtId="0" fontId="0" fillId="0" borderId="7" xfId="0" applyFont="1" applyFill="1" applyBorder="1" applyAlignment="1" applyProtection="1">
      <alignment horizontal="center" vertical="center" wrapText="1"/>
    </xf>
    <xf numFmtId="0" fontId="0" fillId="0" borderId="6" xfId="0" applyFill="1" applyBorder="1" applyAlignment="1" applyProtection="1">
      <alignment horizontal="center" wrapText="1"/>
    </xf>
    <xf numFmtId="3" fontId="0" fillId="5" borderId="26" xfId="0" applyNumberFormat="1" applyFill="1" applyBorder="1" applyAlignment="1">
      <alignment horizontal="center" wrapText="1"/>
    </xf>
    <xf numFmtId="0" fontId="0" fillId="5" borderId="27" xfId="0" applyFill="1" applyBorder="1" applyAlignment="1">
      <alignment horizontal="center" wrapText="1"/>
    </xf>
    <xf numFmtId="3" fontId="0" fillId="5" borderId="10" xfId="0" applyNumberFormat="1" applyFill="1" applyBorder="1" applyAlignment="1">
      <alignment horizontal="center" wrapText="1"/>
    </xf>
    <xf numFmtId="0" fontId="0" fillId="5" borderId="11" xfId="0" applyFill="1" applyBorder="1" applyAlignment="1">
      <alignment horizontal="center" wrapText="1"/>
    </xf>
    <xf numFmtId="9" fontId="0" fillId="0" borderId="12" xfId="0" applyNumberFormat="1" applyFill="1" applyBorder="1" applyAlignment="1" applyProtection="1">
      <alignment horizontal="center" wrapText="1"/>
    </xf>
    <xf numFmtId="9" fontId="0" fillId="0" borderId="12" xfId="0" applyNumberFormat="1" applyBorder="1" applyAlignment="1">
      <alignment horizontal="center" wrapText="1"/>
    </xf>
    <xf numFmtId="0" fontId="0" fillId="3" borderId="1" xfId="0" applyFill="1" applyBorder="1" applyAlignment="1" applyProtection="1">
      <alignment horizontal="center" wrapText="1"/>
    </xf>
    <xf numFmtId="0" fontId="0" fillId="2" borderId="4" xfId="0" applyFill="1" applyBorder="1" applyAlignment="1" applyProtection="1">
      <alignment horizontal="center" wrapText="1"/>
    </xf>
    <xf numFmtId="0" fontId="0" fillId="2" borderId="5" xfId="0" applyFill="1" applyBorder="1" applyAlignment="1" applyProtection="1">
      <alignment horizontal="center" wrapText="1"/>
    </xf>
    <xf numFmtId="3" fontId="5" fillId="0" borderId="8" xfId="0" applyNumberFormat="1" applyFont="1" applyFill="1" applyBorder="1" applyAlignment="1" applyProtection="1">
      <alignment horizontal="right" wrapText="1"/>
    </xf>
    <xf numFmtId="3" fontId="5" fillId="0" borderId="9" xfId="0" applyNumberFormat="1" applyFont="1" applyFill="1" applyBorder="1" applyAlignment="1" applyProtection="1">
      <alignment horizontal="left" wrapText="1"/>
    </xf>
    <xf numFmtId="3" fontId="0" fillId="0" borderId="6" xfId="0" applyNumberFormat="1" applyFill="1" applyBorder="1" applyAlignment="1" applyProtection="1">
      <alignment horizontal="right" wrapText="1"/>
    </xf>
    <xf numFmtId="0" fontId="0" fillId="0" borderId="0" xfId="0" applyFill="1" applyBorder="1" applyAlignment="1" applyProtection="1">
      <alignment horizontal="right"/>
    </xf>
    <xf numFmtId="3" fontId="0" fillId="0" borderId="0" xfId="0" applyNumberFormat="1" applyFill="1" applyBorder="1" applyAlignment="1" applyProtection="1">
      <alignment horizontal="left" wrapText="1"/>
    </xf>
    <xf numFmtId="0" fontId="0" fillId="0" borderId="15" xfId="0" applyFill="1" applyBorder="1" applyAlignment="1" applyProtection="1">
      <alignment horizontal="left" wrapText="1"/>
    </xf>
    <xf numFmtId="0" fontId="0" fillId="3" borderId="7" xfId="0" applyFont="1" applyFill="1" applyBorder="1" applyAlignment="1" applyProtection="1">
      <alignment horizontal="center" wrapText="1"/>
    </xf>
    <xf numFmtId="0" fontId="0" fillId="3" borderId="8" xfId="0" applyFont="1" applyFill="1" applyBorder="1" applyAlignment="1" applyProtection="1">
      <alignment horizontal="center" wrapText="1"/>
    </xf>
    <xf numFmtId="0" fontId="0" fillId="3" borderId="9" xfId="0" applyFont="1" applyFill="1" applyBorder="1" applyAlignment="1" applyProtection="1">
      <alignment horizontal="center" wrapText="1"/>
    </xf>
    <xf numFmtId="0" fontId="10" fillId="10" borderId="0" xfId="0" applyFont="1" applyFill="1" applyBorder="1" applyAlignment="1" applyProtection="1">
      <alignment horizontal="center" wrapText="1"/>
    </xf>
    <xf numFmtId="1" fontId="0" fillId="10" borderId="0" xfId="0" applyNumberFormat="1" applyFont="1" applyFill="1" applyBorder="1" applyAlignment="1" applyProtection="1">
      <alignment horizontal="center" wrapText="1"/>
    </xf>
    <xf numFmtId="0" fontId="0" fillId="10" borderId="0" xfId="0" applyFont="1" applyFill="1" applyBorder="1" applyAlignment="1" applyProtection="1">
      <alignment horizontal="center" wrapText="1"/>
    </xf>
    <xf numFmtId="0" fontId="29" fillId="0" borderId="4" xfId="0" applyFont="1" applyFill="1" applyBorder="1" applyAlignment="1" applyProtection="1">
      <alignment horizontal="left"/>
    </xf>
    <xf numFmtId="0" fontId="29" fillId="0" borderId="5" xfId="0" applyFont="1" applyBorder="1" applyAlignment="1" applyProtection="1">
      <alignment horizontal="left"/>
    </xf>
    <xf numFmtId="0" fontId="29" fillId="0" borderId="3" xfId="0" applyFont="1" applyFill="1" applyBorder="1" applyAlignment="1" applyProtection="1">
      <alignment horizontal="right" wrapText="1"/>
    </xf>
    <xf numFmtId="0" fontId="0" fillId="0" borderId="4" xfId="0" applyBorder="1" applyAlignment="1" applyProtection="1">
      <alignment wrapText="1"/>
    </xf>
    <xf numFmtId="0" fontId="0" fillId="0" borderId="0" xfId="0" applyFill="1" applyBorder="1" applyAlignment="1" applyProtection="1">
      <alignment horizontal="right" wrapText="1"/>
    </xf>
    <xf numFmtId="0" fontId="0" fillId="0" borderId="15" xfId="0" applyFill="1" applyBorder="1" applyAlignment="1" applyProtection="1">
      <alignment horizontal="left"/>
    </xf>
    <xf numFmtId="0" fontId="0" fillId="0" borderId="12" xfId="0" applyFill="1" applyBorder="1" applyAlignment="1" applyProtection="1">
      <alignment horizontal="right" wrapText="1"/>
    </xf>
    <xf numFmtId="0" fontId="0" fillId="2" borderId="1" xfId="0" applyFill="1" applyBorder="1" applyAlignment="1" applyProtection="1">
      <alignment horizontal="center" wrapText="1"/>
    </xf>
    <xf numFmtId="0" fontId="10" fillId="0" borderId="3" xfId="0" applyFont="1" applyFill="1" applyBorder="1" applyAlignment="1" applyProtection="1">
      <alignment horizontal="center" wrapText="1"/>
    </xf>
    <xf numFmtId="0" fontId="10" fillId="0" borderId="4" xfId="0" applyFont="1" applyFill="1" applyBorder="1" applyAlignment="1" applyProtection="1">
      <alignment horizontal="center" wrapText="1"/>
    </xf>
    <xf numFmtId="0" fontId="0" fillId="0" borderId="4" xfId="0" applyFill="1" applyBorder="1" applyAlignment="1" applyProtection="1">
      <alignment horizontal="center" wrapText="1"/>
    </xf>
    <xf numFmtId="0" fontId="0" fillId="0" borderId="5" xfId="0" applyFill="1" applyBorder="1" applyAlignment="1" applyProtection="1">
      <alignment horizontal="center" wrapText="1"/>
    </xf>
    <xf numFmtId="1" fontId="0" fillId="0" borderId="3" xfId="0" applyNumberFormat="1" applyFont="1" applyFill="1" applyBorder="1" applyAlignment="1" applyProtection="1">
      <alignment horizontal="center" wrapText="1"/>
    </xf>
    <xf numFmtId="0" fontId="0" fillId="0" borderId="4" xfId="0" applyFont="1" applyFill="1" applyBorder="1" applyAlignment="1" applyProtection="1">
      <alignment horizontal="center" wrapText="1"/>
    </xf>
    <xf numFmtId="0" fontId="0" fillId="0" borderId="11" xfId="0" applyFill="1" applyBorder="1" applyAlignment="1" applyProtection="1">
      <alignment horizontal="left"/>
    </xf>
    <xf numFmtId="0" fontId="0" fillId="0" borderId="9" xfId="0" applyFill="1" applyBorder="1" applyAlignment="1" applyProtection="1">
      <alignment horizontal="center" wrapText="1"/>
    </xf>
    <xf numFmtId="0" fontId="0" fillId="3" borderId="13" xfId="0" applyFont="1" applyFill="1" applyBorder="1" applyAlignment="1" applyProtection="1">
      <alignment horizontal="center" vertical="center" wrapText="1"/>
    </xf>
    <xf numFmtId="0" fontId="0" fillId="3" borderId="14" xfId="0" applyFont="1" applyFill="1" applyBorder="1" applyAlignment="1" applyProtection="1">
      <alignment horizontal="center" vertical="center" wrapText="1"/>
    </xf>
    <xf numFmtId="0" fontId="0" fillId="3" borderId="2" xfId="0" applyFont="1" applyFill="1" applyBorder="1" applyAlignment="1" applyProtection="1">
      <alignment horizontal="center" vertical="center" wrapText="1"/>
    </xf>
    <xf numFmtId="0" fontId="0" fillId="3" borderId="6" xfId="0" applyFont="1" applyFill="1" applyBorder="1" applyAlignment="1" applyProtection="1">
      <alignment horizontal="center" wrapText="1"/>
    </xf>
    <xf numFmtId="0" fontId="0" fillId="3" borderId="15" xfId="0" applyFont="1" applyFill="1" applyBorder="1" applyAlignment="1" applyProtection="1">
      <alignment horizontal="center" wrapText="1"/>
    </xf>
    <xf numFmtId="0" fontId="0" fillId="3" borderId="10" xfId="0" applyFont="1" applyFill="1" applyBorder="1" applyAlignment="1" applyProtection="1">
      <alignment horizontal="center" wrapText="1"/>
    </xf>
    <xf numFmtId="0" fontId="0" fillId="3" borderId="11" xfId="0" applyFont="1" applyFill="1" applyBorder="1" applyAlignment="1" applyProtection="1">
      <alignment horizontal="center" wrapText="1"/>
    </xf>
    <xf numFmtId="0" fontId="29" fillId="0" borderId="4" xfId="0" applyFont="1" applyFill="1" applyBorder="1" applyAlignment="1" applyProtection="1">
      <alignment horizontal="left" wrapText="1"/>
    </xf>
    <xf numFmtId="0" fontId="29" fillId="0" borderId="5" xfId="0" applyFont="1" applyBorder="1" applyAlignment="1" applyProtection="1">
      <alignment horizontal="left" wrapText="1"/>
    </xf>
    <xf numFmtId="0" fontId="27" fillId="0" borderId="4" xfId="0" applyFont="1" applyBorder="1" applyAlignment="1" applyProtection="1">
      <alignment horizontal="right" wrapText="1"/>
    </xf>
    <xf numFmtId="0" fontId="0" fillId="0" borderId="8" xfId="0" applyFill="1" applyBorder="1" applyAlignment="1" applyProtection="1">
      <alignment horizontal="right"/>
    </xf>
    <xf numFmtId="0" fontId="0" fillId="0" borderId="9" xfId="0" applyFill="1" applyBorder="1" applyAlignment="1" applyProtection="1">
      <alignment horizontal="left" wrapText="1"/>
    </xf>
    <xf numFmtId="3" fontId="20" fillId="0" borderId="6" xfId="0" applyNumberFormat="1" applyFont="1" applyFill="1" applyBorder="1" applyAlignment="1" applyProtection="1">
      <alignment horizontal="right" wrapText="1"/>
    </xf>
    <xf numFmtId="0" fontId="20" fillId="0" borderId="0" xfId="0" applyFont="1" applyFill="1" applyBorder="1" applyAlignment="1" applyProtection="1">
      <alignment horizontal="right"/>
    </xf>
    <xf numFmtId="0" fontId="0" fillId="0" borderId="8" xfId="0" applyFill="1" applyBorder="1" applyAlignment="1" applyProtection="1">
      <alignment horizontal="right" wrapText="1"/>
    </xf>
    <xf numFmtId="0" fontId="0" fillId="3" borderId="10" xfId="0" applyFill="1" applyBorder="1" applyAlignment="1" applyProtection="1">
      <alignment horizontal="center" wrapText="1"/>
    </xf>
    <xf numFmtId="0" fontId="0" fillId="3" borderId="12" xfId="0" applyFill="1" applyBorder="1" applyAlignment="1" applyProtection="1">
      <alignment horizontal="center" wrapText="1"/>
    </xf>
    <xf numFmtId="0" fontId="0" fillId="3" borderId="11" xfId="0" applyFill="1" applyBorder="1" applyAlignment="1" applyProtection="1">
      <alignment horizontal="center" wrapText="1"/>
    </xf>
    <xf numFmtId="0" fontId="0" fillId="0" borderId="3" xfId="0" applyFont="1" applyFill="1" applyBorder="1" applyAlignment="1" applyProtection="1">
      <alignment horizontal="center" wrapText="1"/>
    </xf>
    <xf numFmtId="0" fontId="0" fillId="0" borderId="5" xfId="0" applyFont="1" applyFill="1" applyBorder="1" applyAlignment="1" applyProtection="1">
      <alignment horizontal="center" wrapText="1"/>
    </xf>
    <xf numFmtId="0" fontId="0" fillId="0" borderId="0" xfId="0" applyBorder="1" applyAlignment="1">
      <alignment horizontal="left" wrapText="1"/>
    </xf>
    <xf numFmtId="3" fontId="0" fillId="0" borderId="7" xfId="0" applyNumberFormat="1" applyFont="1" applyFill="1" applyBorder="1" applyAlignment="1" applyProtection="1">
      <alignment horizontal="center" wrapText="1"/>
    </xf>
    <xf numFmtId="3" fontId="0" fillId="0" borderId="18" xfId="0" applyNumberFormat="1" applyFont="1" applyFill="1" applyBorder="1" applyAlignment="1" applyProtection="1">
      <alignment horizontal="center" wrapText="1"/>
    </xf>
    <xf numFmtId="9" fontId="0" fillId="0" borderId="10" xfId="0" applyNumberFormat="1" applyFill="1" applyBorder="1" applyAlignment="1" applyProtection="1">
      <alignment horizontal="center" wrapText="1"/>
    </xf>
    <xf numFmtId="9" fontId="0" fillId="0" borderId="11" xfId="0" applyNumberFormat="1" applyBorder="1" applyAlignment="1">
      <alignment horizontal="center" wrapText="1"/>
    </xf>
    <xf numFmtId="3" fontId="0" fillId="5" borderId="7" xfId="0" applyNumberFormat="1" applyFill="1" applyBorder="1" applyAlignment="1">
      <alignment horizontal="center" wrapText="1"/>
    </xf>
    <xf numFmtId="0" fontId="0" fillId="5" borderId="9" xfId="0" applyFill="1" applyBorder="1" applyAlignment="1">
      <alignment horizontal="center" wrapText="1"/>
    </xf>
    <xf numFmtId="9" fontId="0" fillId="0" borderId="8" xfId="0" applyNumberFormat="1" applyFill="1" applyBorder="1" applyAlignment="1" applyProtection="1">
      <alignment horizontal="center" wrapText="1"/>
    </xf>
    <xf numFmtId="9" fontId="0" fillId="0" borderId="8" xfId="0" applyNumberFormat="1" applyBorder="1" applyAlignment="1">
      <alignment horizontal="center" wrapText="1"/>
    </xf>
    <xf numFmtId="0" fontId="0" fillId="10" borderId="0" xfId="0" applyFill="1" applyBorder="1" applyAlignment="1" applyProtection="1">
      <alignment horizontal="center" vertical="center" wrapText="1"/>
    </xf>
    <xf numFmtId="0" fontId="0" fillId="10" borderId="0" xfId="0" applyFill="1" applyBorder="1" applyAlignment="1">
      <alignment horizontal="center" vertical="center" wrapText="1"/>
    </xf>
    <xf numFmtId="0" fontId="0" fillId="15" borderId="4" xfId="0" applyFill="1" applyBorder="1" applyAlignment="1" applyProtection="1">
      <alignment horizontal="center" wrapText="1"/>
    </xf>
    <xf numFmtId="0" fontId="0" fillId="15" borderId="5" xfId="0" applyFill="1" applyBorder="1" applyAlignment="1" applyProtection="1">
      <alignment horizontal="center" wrapText="1"/>
    </xf>
    <xf numFmtId="3" fontId="0" fillId="0" borderId="10" xfId="0" applyNumberFormat="1" applyFill="1" applyBorder="1" applyAlignment="1">
      <alignment horizontal="center" vertical="center" wrapText="1"/>
    </xf>
    <xf numFmtId="3" fontId="0" fillId="0" borderId="0" xfId="0" applyNumberFormat="1" applyFill="1" applyBorder="1" applyAlignment="1">
      <alignment horizontal="center" vertical="center" wrapText="1"/>
    </xf>
    <xf numFmtId="0" fontId="1" fillId="0" borderId="5" xfId="0" applyFont="1" applyFill="1" applyBorder="1" applyAlignment="1">
      <alignment horizontal="center" vertical="center" wrapText="1"/>
    </xf>
    <xf numFmtId="0" fontId="0" fillId="3" borderId="3" xfId="0" applyFill="1" applyBorder="1" applyAlignment="1" applyProtection="1">
      <alignment horizontal="center" vertical="center" wrapText="1"/>
    </xf>
    <xf numFmtId="0" fontId="0" fillId="3" borderId="5" xfId="0" applyFill="1" applyBorder="1" applyAlignment="1" applyProtection="1">
      <alignment horizontal="center" vertical="center" wrapText="1"/>
    </xf>
    <xf numFmtId="0" fontId="29" fillId="0" borderId="6" xfId="0" applyFont="1" applyFill="1" applyBorder="1" applyAlignment="1" applyProtection="1">
      <alignment horizontal="center" vertical="center" wrapText="1"/>
    </xf>
  </cellXfs>
  <cellStyles count="2">
    <cellStyle name="Normal" xfId="0" builtinId="0"/>
    <cellStyle name="Percent" xfId="1" builtinId="5"/>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66"/>
      <color rgb="FF99FF99"/>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33618</xdr:rowOff>
    </xdr:from>
    <xdr:to>
      <xdr:col>0</xdr:col>
      <xdr:colOff>611904</xdr:colOff>
      <xdr:row>2</xdr:row>
      <xdr:rowOff>81348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412" y="33618"/>
          <a:ext cx="656167" cy="428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22412</xdr:colOff>
      <xdr:row>0</xdr:row>
      <xdr:rowOff>33618</xdr:rowOff>
    </xdr:from>
    <xdr:to>
      <xdr:col>0</xdr:col>
      <xdr:colOff>678579</xdr:colOff>
      <xdr:row>2</xdr:row>
      <xdr:rowOff>81348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412" y="33618"/>
          <a:ext cx="656167" cy="428730"/>
        </a:xfrm>
        <a:prstGeom prst="rect">
          <a:avLst/>
        </a:prstGeom>
      </xdr:spPr>
    </xdr:pic>
    <xdr:clientData/>
  </xdr:twoCellAnchor>
  <xdr:twoCellAnchor>
    <xdr:from>
      <xdr:col>14</xdr:col>
      <xdr:colOff>209085</xdr:colOff>
      <xdr:row>29</xdr:row>
      <xdr:rowOff>116159</xdr:rowOff>
    </xdr:from>
    <xdr:to>
      <xdr:col>14</xdr:col>
      <xdr:colOff>638871</xdr:colOff>
      <xdr:row>31</xdr:row>
      <xdr:rowOff>34849</xdr:rowOff>
    </xdr:to>
    <xdr:sp macro="" textlink="">
      <xdr:nvSpPr>
        <xdr:cNvPr id="3" name="Down Arrow 2"/>
        <xdr:cNvSpPr/>
      </xdr:nvSpPr>
      <xdr:spPr>
        <a:xfrm rot="5400000">
          <a:off x="10361340" y="6272563"/>
          <a:ext cx="290397" cy="429786"/>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22412</xdr:colOff>
      <xdr:row>0</xdr:row>
      <xdr:rowOff>33618</xdr:rowOff>
    </xdr:from>
    <xdr:to>
      <xdr:col>0</xdr:col>
      <xdr:colOff>678579</xdr:colOff>
      <xdr:row>2</xdr:row>
      <xdr:rowOff>81348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412" y="33618"/>
          <a:ext cx="656167" cy="428730"/>
        </a:xfrm>
        <a:prstGeom prst="rect">
          <a:avLst/>
        </a:prstGeom>
      </xdr:spPr>
    </xdr:pic>
    <xdr:clientData/>
  </xdr:twoCellAnchor>
  <xdr:twoCellAnchor>
    <xdr:from>
      <xdr:col>12</xdr:col>
      <xdr:colOff>139391</xdr:colOff>
      <xdr:row>7</xdr:row>
      <xdr:rowOff>174238</xdr:rowOff>
    </xdr:from>
    <xdr:to>
      <xdr:col>12</xdr:col>
      <xdr:colOff>569177</xdr:colOff>
      <xdr:row>10</xdr:row>
      <xdr:rowOff>92928</xdr:rowOff>
    </xdr:to>
    <xdr:sp macro="" textlink="">
      <xdr:nvSpPr>
        <xdr:cNvPr id="3" name="Down Arrow 2"/>
        <xdr:cNvSpPr/>
      </xdr:nvSpPr>
      <xdr:spPr>
        <a:xfrm rot="5400000">
          <a:off x="8851280" y="1405520"/>
          <a:ext cx="290397" cy="429786"/>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22412</xdr:colOff>
      <xdr:row>0</xdr:row>
      <xdr:rowOff>33618</xdr:rowOff>
    </xdr:from>
    <xdr:to>
      <xdr:col>0</xdr:col>
      <xdr:colOff>678579</xdr:colOff>
      <xdr:row>2</xdr:row>
      <xdr:rowOff>81348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412" y="33618"/>
          <a:ext cx="656167" cy="428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11206</xdr:colOff>
      <xdr:row>0</xdr:row>
      <xdr:rowOff>11207</xdr:rowOff>
    </xdr:from>
    <xdr:to>
      <xdr:col>0</xdr:col>
      <xdr:colOff>661797</xdr:colOff>
      <xdr:row>2</xdr:row>
      <xdr:rowOff>58937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06" y="11207"/>
          <a:ext cx="651685" cy="428730"/>
        </a:xfrm>
        <a:prstGeom prst="rect">
          <a:avLst/>
        </a:prstGeom>
      </xdr:spPr>
    </xdr:pic>
    <xdr:clientData/>
  </xdr:twoCellAnchor>
  <xdr:twoCellAnchor>
    <xdr:from>
      <xdr:col>6</xdr:col>
      <xdr:colOff>162622</xdr:colOff>
      <xdr:row>17</xdr:row>
      <xdr:rowOff>81311</xdr:rowOff>
    </xdr:from>
    <xdr:to>
      <xdr:col>6</xdr:col>
      <xdr:colOff>453019</xdr:colOff>
      <xdr:row>19</xdr:row>
      <xdr:rowOff>139390</xdr:rowOff>
    </xdr:to>
    <xdr:sp macro="" textlink="">
      <xdr:nvSpPr>
        <xdr:cNvPr id="3" name="Down Arrow 2"/>
        <xdr:cNvSpPr/>
      </xdr:nvSpPr>
      <xdr:spPr>
        <a:xfrm>
          <a:off x="4030701" y="3217591"/>
          <a:ext cx="290397" cy="429787"/>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464635</xdr:colOff>
      <xdr:row>33</xdr:row>
      <xdr:rowOff>0</xdr:rowOff>
    </xdr:from>
    <xdr:to>
      <xdr:col>22</xdr:col>
      <xdr:colOff>151007</xdr:colOff>
      <xdr:row>35</xdr:row>
      <xdr:rowOff>58079</xdr:rowOff>
    </xdr:to>
    <xdr:sp macro="" textlink="">
      <xdr:nvSpPr>
        <xdr:cNvPr id="4" name="Down Arrow 3"/>
        <xdr:cNvSpPr/>
      </xdr:nvSpPr>
      <xdr:spPr>
        <a:xfrm>
          <a:off x="13393080" y="5947317"/>
          <a:ext cx="290397" cy="429786"/>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16</xdr:col>
      <xdr:colOff>534328</xdr:colOff>
      <xdr:row>8</xdr:row>
      <xdr:rowOff>69695</xdr:rowOff>
    </xdr:from>
    <xdr:to>
      <xdr:col>22</xdr:col>
      <xdr:colOff>234870</xdr:colOff>
      <xdr:row>14</xdr:row>
      <xdr:rowOff>3638</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42651" y="1905000"/>
          <a:ext cx="3324689" cy="109552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11206</xdr:colOff>
      <xdr:row>0</xdr:row>
      <xdr:rowOff>11207</xdr:rowOff>
    </xdr:from>
    <xdr:to>
      <xdr:col>0</xdr:col>
      <xdr:colOff>614172</xdr:colOff>
      <xdr:row>2</xdr:row>
      <xdr:rowOff>58937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06" y="11207"/>
          <a:ext cx="650591" cy="4287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22412</xdr:colOff>
      <xdr:row>0</xdr:row>
      <xdr:rowOff>33618</xdr:rowOff>
    </xdr:from>
    <xdr:to>
      <xdr:col>0</xdr:col>
      <xdr:colOff>678579</xdr:colOff>
      <xdr:row>2</xdr:row>
      <xdr:rowOff>81348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412" y="33618"/>
          <a:ext cx="656167" cy="4287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100853</xdr:colOff>
      <xdr:row>0</xdr:row>
      <xdr:rowOff>87157</xdr:rowOff>
    </xdr:from>
    <xdr:to>
      <xdr:col>1</xdr:col>
      <xdr:colOff>183420</xdr:colOff>
      <xdr:row>2</xdr:row>
      <xdr:rowOff>143602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853" y="87157"/>
          <a:ext cx="665273" cy="437445"/>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U55"/>
  <sheetViews>
    <sheetView showGridLines="0" tabSelected="1" zoomScale="82" zoomScaleNormal="82" workbookViewId="0">
      <selection activeCell="B25" sqref="B25"/>
    </sheetView>
  </sheetViews>
  <sheetFormatPr defaultRowHeight="15" x14ac:dyDescent="0.25"/>
  <cols>
    <col min="1" max="1" width="10.7109375" style="664" customWidth="1"/>
    <col min="2" max="6" width="10.7109375" style="621" customWidth="1"/>
    <col min="7" max="7" width="10.7109375" style="622" customWidth="1"/>
    <col min="8" max="46" width="10.7109375" style="621" customWidth="1"/>
    <col min="47" max="16384" width="9.140625" style="621"/>
  </cols>
  <sheetData>
    <row r="2" spans="1:21" x14ac:dyDescent="0.25">
      <c r="B2" s="664"/>
      <c r="C2" s="664"/>
      <c r="D2" s="664"/>
      <c r="E2" s="664"/>
      <c r="F2" s="664"/>
      <c r="G2" s="684" t="s">
        <v>282</v>
      </c>
      <c r="H2" s="685"/>
      <c r="I2" s="685"/>
      <c r="J2" s="685"/>
      <c r="K2" s="685"/>
      <c r="L2" s="685"/>
      <c r="M2" s="685"/>
      <c r="N2" s="685"/>
      <c r="O2" s="686"/>
      <c r="P2" s="664"/>
      <c r="Q2" s="664"/>
      <c r="R2" s="664"/>
      <c r="S2" s="664"/>
      <c r="T2" s="664"/>
      <c r="U2" s="664"/>
    </row>
    <row r="3" spans="1:21" x14ac:dyDescent="0.25">
      <c r="B3" s="664"/>
      <c r="C3" s="664"/>
      <c r="D3" s="664"/>
      <c r="E3" s="664"/>
      <c r="F3" s="664"/>
      <c r="G3" s="687"/>
      <c r="H3" s="688"/>
      <c r="I3" s="688"/>
      <c r="J3" s="688"/>
      <c r="K3" s="688"/>
      <c r="L3" s="688"/>
      <c r="M3" s="688"/>
      <c r="N3" s="688"/>
      <c r="O3" s="689"/>
      <c r="P3" s="664"/>
      <c r="Q3" s="664"/>
      <c r="R3" s="664"/>
      <c r="S3" s="664"/>
      <c r="T3" s="664"/>
      <c r="U3" s="664"/>
    </row>
    <row r="4" spans="1:21" x14ac:dyDescent="0.25">
      <c r="B4" s="664"/>
      <c r="C4" s="664"/>
      <c r="D4" s="664"/>
      <c r="E4" s="664"/>
      <c r="F4" s="664"/>
      <c r="G4" s="690"/>
      <c r="H4" s="691"/>
      <c r="I4" s="691"/>
      <c r="J4" s="691"/>
      <c r="K4" s="691"/>
      <c r="L4" s="691"/>
      <c r="M4" s="691"/>
      <c r="N4" s="691"/>
      <c r="O4" s="692"/>
      <c r="P4" s="664"/>
      <c r="Q4" s="664"/>
      <c r="R4" s="664"/>
      <c r="S4" s="664"/>
      <c r="T4" s="664"/>
      <c r="U4" s="664"/>
    </row>
    <row r="5" spans="1:21" x14ac:dyDescent="0.25">
      <c r="B5" s="664"/>
      <c r="C5" s="664"/>
      <c r="D5" s="664"/>
      <c r="E5" s="664"/>
      <c r="F5" s="664"/>
      <c r="G5" s="665"/>
      <c r="H5" s="664"/>
      <c r="I5" s="664"/>
      <c r="J5" s="664"/>
      <c r="K5" s="664"/>
      <c r="L5" s="664"/>
      <c r="M5" s="664"/>
      <c r="N5" s="664"/>
      <c r="O5" s="664"/>
      <c r="P5" s="664"/>
      <c r="Q5" s="664"/>
      <c r="R5" s="664"/>
      <c r="S5" s="664"/>
      <c r="T5" s="664"/>
      <c r="U5" s="664"/>
    </row>
    <row r="6" spans="1:21" x14ac:dyDescent="0.25">
      <c r="B6" s="664"/>
      <c r="C6" s="664"/>
      <c r="D6" s="664"/>
      <c r="E6" s="664"/>
      <c r="F6" s="664"/>
      <c r="G6" s="665"/>
      <c r="H6" s="664"/>
      <c r="I6" s="664"/>
      <c r="J6" s="664"/>
      <c r="K6" s="664"/>
      <c r="L6" s="664"/>
      <c r="M6" s="664"/>
      <c r="N6" s="664"/>
      <c r="O6" s="664"/>
      <c r="P6" s="664"/>
      <c r="Q6" s="664"/>
      <c r="R6" s="664"/>
      <c r="S6" s="664"/>
      <c r="T6" s="664"/>
      <c r="U6" s="664"/>
    </row>
    <row r="7" spans="1:21" ht="18.75" x14ac:dyDescent="0.25">
      <c r="A7" s="676" t="s">
        <v>313</v>
      </c>
      <c r="B7" s="666" t="s">
        <v>298</v>
      </c>
      <c r="C7" s="664"/>
      <c r="D7" s="664"/>
      <c r="E7" s="664"/>
      <c r="F7" s="664"/>
      <c r="G7" s="665"/>
      <c r="H7" s="664"/>
      <c r="I7" s="664"/>
      <c r="J7" s="664"/>
      <c r="K7" s="664"/>
      <c r="L7" s="664"/>
      <c r="M7" s="664"/>
      <c r="N7" s="664"/>
      <c r="O7" s="664"/>
      <c r="P7" s="664"/>
      <c r="Q7" s="664"/>
      <c r="R7" s="664"/>
      <c r="S7" s="664"/>
      <c r="T7" s="664"/>
      <c r="U7" s="664"/>
    </row>
    <row r="8" spans="1:21" ht="18.75" x14ac:dyDescent="0.25">
      <c r="A8" s="676" t="s">
        <v>314</v>
      </c>
      <c r="B8" s="666" t="s">
        <v>299</v>
      </c>
      <c r="C8" s="664"/>
      <c r="D8" s="664"/>
      <c r="E8" s="664"/>
      <c r="F8" s="664"/>
      <c r="G8" s="665"/>
      <c r="H8" s="664"/>
      <c r="I8" s="664"/>
      <c r="J8" s="664"/>
      <c r="K8" s="664"/>
      <c r="L8" s="664"/>
      <c r="M8" s="664"/>
      <c r="N8" s="664"/>
      <c r="O8" s="664"/>
      <c r="P8" s="664"/>
      <c r="Q8" s="664"/>
      <c r="R8" s="664"/>
      <c r="S8" s="664"/>
      <c r="T8" s="664"/>
      <c r="U8" s="664"/>
    </row>
    <row r="9" spans="1:21" ht="18.75" x14ac:dyDescent="0.25">
      <c r="A9" s="676" t="s">
        <v>315</v>
      </c>
      <c r="B9" s="666" t="s">
        <v>300</v>
      </c>
      <c r="C9" s="664"/>
      <c r="D9" s="664"/>
      <c r="E9" s="664"/>
      <c r="F9" s="664"/>
      <c r="G9" s="665"/>
      <c r="H9" s="664"/>
      <c r="I9" s="664"/>
      <c r="J9" s="664"/>
      <c r="K9" s="664"/>
      <c r="L9" s="664"/>
      <c r="M9" s="664"/>
      <c r="N9" s="664"/>
      <c r="O9" s="664"/>
      <c r="P9" s="664"/>
      <c r="Q9" s="664"/>
      <c r="R9" s="664"/>
      <c r="S9" s="664"/>
      <c r="T9" s="664"/>
      <c r="U9" s="664"/>
    </row>
    <row r="10" spans="1:21" x14ac:dyDescent="0.25">
      <c r="B10" s="664"/>
      <c r="C10" s="664"/>
      <c r="D10" s="664"/>
      <c r="E10" s="664"/>
      <c r="F10" s="664"/>
      <c r="G10" s="665"/>
      <c r="H10" s="664"/>
      <c r="I10" s="664"/>
      <c r="J10" s="664"/>
      <c r="K10" s="664"/>
      <c r="L10" s="664"/>
      <c r="M10" s="664"/>
      <c r="N10" s="664"/>
      <c r="O10" s="664"/>
      <c r="P10" s="664"/>
      <c r="Q10" s="664"/>
      <c r="R10" s="664"/>
      <c r="S10" s="664"/>
      <c r="T10" s="664"/>
      <c r="U10" s="664"/>
    </row>
    <row r="11" spans="1:21" s="663" customFormat="1" ht="18.75" x14ac:dyDescent="0.3">
      <c r="A11" s="667"/>
      <c r="B11" s="667" t="s">
        <v>296</v>
      </c>
      <c r="C11" s="667"/>
      <c r="D11" s="667"/>
      <c r="E11" s="667"/>
      <c r="F11" s="667"/>
      <c r="G11" s="668"/>
      <c r="H11" s="667"/>
      <c r="I11" s="667"/>
      <c r="J11" s="667"/>
      <c r="K11" s="667"/>
      <c r="L11" s="667"/>
      <c r="M11" s="667"/>
      <c r="N11" s="667"/>
      <c r="O11" s="667"/>
      <c r="P11" s="667"/>
      <c r="Q11" s="667"/>
      <c r="R11" s="667"/>
      <c r="S11" s="667"/>
      <c r="T11" s="667"/>
      <c r="U11" s="667"/>
    </row>
    <row r="12" spans="1:21" x14ac:dyDescent="0.25">
      <c r="B12" s="664"/>
      <c r="C12" s="664"/>
      <c r="D12" s="664"/>
      <c r="E12" s="664"/>
      <c r="F12" s="664"/>
      <c r="G12" s="665"/>
      <c r="H12" s="664"/>
      <c r="I12" s="664"/>
      <c r="J12" s="664"/>
      <c r="K12" s="664"/>
      <c r="L12" s="664"/>
      <c r="M12" s="664"/>
      <c r="N12" s="664"/>
      <c r="O12" s="664"/>
      <c r="P12" s="664"/>
      <c r="Q12" s="664"/>
      <c r="R12" s="664"/>
      <c r="S12" s="664"/>
      <c r="T12" s="664"/>
      <c r="U12" s="664"/>
    </row>
    <row r="13" spans="1:21" ht="18.75" x14ac:dyDescent="0.25">
      <c r="A13" s="676" t="s">
        <v>316</v>
      </c>
      <c r="B13" s="666" t="s">
        <v>293</v>
      </c>
      <c r="C13" s="664"/>
      <c r="D13" s="664"/>
      <c r="E13" s="664"/>
      <c r="F13" s="669" t="s">
        <v>294</v>
      </c>
      <c r="G13" s="666" t="s">
        <v>295</v>
      </c>
      <c r="H13" s="664"/>
      <c r="I13" s="664"/>
      <c r="J13" s="664"/>
      <c r="K13" s="664"/>
      <c r="L13" s="664"/>
      <c r="M13" s="664"/>
      <c r="N13" s="664"/>
      <c r="O13" s="664"/>
      <c r="P13" s="664"/>
      <c r="Q13" s="664"/>
      <c r="R13" s="664"/>
      <c r="S13" s="664"/>
      <c r="T13" s="664"/>
      <c r="U13" s="664"/>
    </row>
    <row r="14" spans="1:21" ht="18.75" x14ac:dyDescent="0.25">
      <c r="B14" s="666"/>
      <c r="C14" s="664"/>
      <c r="D14" s="664"/>
      <c r="E14" s="664"/>
      <c r="F14" s="670"/>
      <c r="G14" s="666"/>
      <c r="H14" s="664"/>
      <c r="I14" s="664"/>
      <c r="J14" s="664"/>
      <c r="K14" s="664"/>
      <c r="L14" s="664"/>
      <c r="M14" s="664"/>
      <c r="N14" s="664"/>
      <c r="O14" s="664"/>
      <c r="P14" s="664"/>
      <c r="Q14" s="664"/>
      <c r="R14" s="664"/>
      <c r="S14" s="664"/>
      <c r="T14" s="664"/>
      <c r="U14" s="664"/>
    </row>
    <row r="15" spans="1:21" ht="18.75" x14ac:dyDescent="0.25">
      <c r="A15" s="676" t="s">
        <v>317</v>
      </c>
      <c r="B15" s="666" t="s">
        <v>301</v>
      </c>
      <c r="C15" s="664"/>
      <c r="D15" s="664"/>
      <c r="E15" s="664"/>
      <c r="F15" s="670"/>
      <c r="G15" s="666"/>
      <c r="H15" s="664"/>
      <c r="I15" s="664"/>
      <c r="J15" s="664"/>
      <c r="K15" s="664"/>
      <c r="L15" s="664"/>
      <c r="M15" s="664"/>
      <c r="N15" s="664"/>
      <c r="O15" s="664"/>
      <c r="P15" s="664"/>
      <c r="Q15" s="664"/>
      <c r="R15" s="664"/>
      <c r="S15" s="664"/>
      <c r="T15" s="664"/>
      <c r="U15" s="664"/>
    </row>
    <row r="16" spans="1:21" ht="18.75" x14ac:dyDescent="0.25">
      <c r="B16" s="666"/>
      <c r="C16" s="664"/>
      <c r="D16" s="664"/>
      <c r="E16" s="664"/>
      <c r="F16" s="670"/>
      <c r="G16" s="666"/>
      <c r="H16" s="664"/>
      <c r="I16" s="664"/>
      <c r="J16" s="664"/>
      <c r="K16" s="664"/>
      <c r="L16" s="664"/>
      <c r="M16" s="664"/>
      <c r="N16" s="664"/>
      <c r="O16" s="664"/>
      <c r="P16" s="664"/>
      <c r="Q16" s="664"/>
      <c r="R16" s="664"/>
      <c r="S16" s="664"/>
      <c r="T16" s="664"/>
      <c r="U16" s="664"/>
    </row>
    <row r="17" spans="1:21" ht="18.75" x14ac:dyDescent="0.25">
      <c r="A17" s="676" t="s">
        <v>318</v>
      </c>
      <c r="B17" s="666" t="s">
        <v>312</v>
      </c>
      <c r="C17" s="664"/>
      <c r="D17" s="664"/>
      <c r="E17" s="664"/>
      <c r="F17" s="670"/>
      <c r="G17" s="666"/>
      <c r="H17" s="664"/>
      <c r="I17" s="664"/>
      <c r="J17" s="664"/>
      <c r="K17" s="664"/>
      <c r="L17" s="664"/>
      <c r="M17" s="664"/>
      <c r="N17" s="664"/>
      <c r="O17" s="664"/>
      <c r="P17" s="664"/>
      <c r="Q17" s="664"/>
      <c r="R17" s="664"/>
      <c r="S17" s="664"/>
      <c r="T17" s="664"/>
      <c r="U17" s="664"/>
    </row>
    <row r="18" spans="1:21" x14ac:dyDescent="0.25">
      <c r="B18" s="664"/>
      <c r="C18" s="664"/>
      <c r="D18" s="664"/>
      <c r="E18" s="664"/>
      <c r="F18" s="664"/>
      <c r="G18" s="665"/>
      <c r="H18" s="664"/>
      <c r="I18" s="664"/>
      <c r="J18" s="664"/>
      <c r="K18" s="664"/>
      <c r="L18" s="664"/>
      <c r="M18" s="664"/>
      <c r="N18" s="664"/>
      <c r="O18" s="664"/>
      <c r="P18" s="664"/>
      <c r="Q18" s="664"/>
      <c r="R18" s="664"/>
      <c r="S18" s="664"/>
      <c r="T18" s="664"/>
      <c r="U18" s="664"/>
    </row>
    <row r="19" spans="1:21" s="663" customFormat="1" ht="18.75" x14ac:dyDescent="0.3">
      <c r="A19" s="667"/>
      <c r="B19" s="667" t="s">
        <v>297</v>
      </c>
      <c r="C19" s="667"/>
      <c r="D19" s="667"/>
      <c r="E19" s="667"/>
      <c r="F19" s="667"/>
      <c r="G19" s="668"/>
      <c r="H19" s="667"/>
      <c r="I19" s="667"/>
      <c r="J19" s="667"/>
      <c r="K19" s="667"/>
      <c r="L19" s="667"/>
      <c r="M19" s="667"/>
      <c r="N19" s="667"/>
      <c r="O19" s="667"/>
      <c r="P19" s="667"/>
      <c r="Q19" s="667"/>
      <c r="R19" s="667"/>
      <c r="S19" s="667"/>
      <c r="T19" s="667"/>
      <c r="U19" s="667"/>
    </row>
    <row r="20" spans="1:21" x14ac:dyDescent="0.25">
      <c r="B20" s="664"/>
      <c r="C20" s="664"/>
      <c r="D20" s="664"/>
      <c r="E20" s="664"/>
      <c r="F20" s="664"/>
      <c r="G20" s="665"/>
      <c r="H20" s="664"/>
      <c r="I20" s="664"/>
      <c r="J20" s="664"/>
      <c r="K20" s="664"/>
      <c r="L20" s="664"/>
      <c r="M20" s="664"/>
      <c r="N20" s="664"/>
      <c r="O20" s="664"/>
      <c r="P20" s="664"/>
      <c r="Q20" s="664"/>
      <c r="R20" s="664"/>
      <c r="S20" s="664"/>
      <c r="T20" s="664"/>
      <c r="U20" s="664"/>
    </row>
    <row r="21" spans="1:21" ht="18.75" x14ac:dyDescent="0.25">
      <c r="B21" s="664"/>
      <c r="C21" s="677" t="s">
        <v>290</v>
      </c>
      <c r="D21" s="678"/>
      <c r="E21" s="671"/>
      <c r="F21" s="672"/>
      <c r="G21" s="673"/>
      <c r="H21" s="672"/>
      <c r="I21" s="672"/>
      <c r="J21" s="672"/>
      <c r="K21" s="672"/>
      <c r="L21" s="672"/>
      <c r="M21" s="672"/>
      <c r="N21" s="664"/>
      <c r="O21" s="664"/>
      <c r="P21" s="664"/>
      <c r="Q21" s="664"/>
      <c r="R21" s="664"/>
      <c r="S21" s="664"/>
      <c r="T21" s="664"/>
      <c r="U21" s="664"/>
    </row>
    <row r="22" spans="1:21" ht="18.75" x14ac:dyDescent="0.25">
      <c r="B22" s="664"/>
      <c r="C22" s="674" t="s">
        <v>291</v>
      </c>
      <c r="D22" s="672"/>
      <c r="E22" s="672"/>
      <c r="F22" s="672"/>
      <c r="G22" s="673"/>
      <c r="H22" s="672"/>
      <c r="I22" s="672"/>
      <c r="J22" s="672"/>
      <c r="K22" s="672"/>
      <c r="L22" s="672"/>
      <c r="M22" s="672"/>
      <c r="N22" s="664"/>
      <c r="O22" s="664"/>
      <c r="P22" s="664"/>
      <c r="Q22" s="664"/>
      <c r="R22" s="664"/>
      <c r="S22" s="664"/>
      <c r="T22" s="664"/>
      <c r="U22" s="664"/>
    </row>
    <row r="23" spans="1:21" ht="44.25" customHeight="1" x14ac:dyDescent="0.25">
      <c r="B23" s="664"/>
      <c r="C23" s="675"/>
      <c r="D23" s="681" t="s">
        <v>333</v>
      </c>
      <c r="E23" s="682"/>
      <c r="F23" s="682"/>
      <c r="G23" s="682"/>
      <c r="H23" s="682"/>
      <c r="I23" s="682"/>
      <c r="J23" s="682"/>
      <c r="K23" s="682"/>
      <c r="L23" s="682"/>
      <c r="M23" s="682"/>
      <c r="N23" s="683"/>
      <c r="O23" s="683"/>
      <c r="P23" s="683"/>
      <c r="Q23" s="683"/>
      <c r="R23" s="683"/>
      <c r="S23" s="683"/>
      <c r="T23" s="683"/>
      <c r="U23" s="683"/>
    </row>
    <row r="24" spans="1:21" ht="18.75" x14ac:dyDescent="0.25">
      <c r="B24" s="664"/>
      <c r="C24" s="674" t="s">
        <v>292</v>
      </c>
      <c r="D24" s="672"/>
      <c r="E24" s="672"/>
      <c r="F24" s="672"/>
      <c r="G24" s="673"/>
      <c r="H24" s="672"/>
      <c r="I24" s="672"/>
      <c r="J24" s="672"/>
      <c r="K24" s="672"/>
      <c r="L24" s="672"/>
      <c r="M24" s="672"/>
      <c r="N24" s="664"/>
      <c r="O24" s="664"/>
      <c r="P24" s="664"/>
      <c r="Q24" s="664"/>
      <c r="R24" s="664"/>
      <c r="S24" s="664"/>
      <c r="T24" s="664"/>
      <c r="U24" s="664"/>
    </row>
    <row r="25" spans="1:21" ht="153.75" customHeight="1" x14ac:dyDescent="0.25">
      <c r="A25" s="676" t="s">
        <v>319</v>
      </c>
      <c r="B25" s="664"/>
      <c r="C25" s="675"/>
      <c r="D25" s="681" t="s">
        <v>302</v>
      </c>
      <c r="E25" s="682"/>
      <c r="F25" s="682"/>
      <c r="G25" s="682"/>
      <c r="H25" s="682"/>
      <c r="I25" s="682"/>
      <c r="J25" s="682"/>
      <c r="K25" s="682"/>
      <c r="L25" s="682"/>
      <c r="M25" s="682"/>
      <c r="N25" s="683"/>
      <c r="O25" s="683"/>
      <c r="P25" s="683"/>
      <c r="Q25" s="683"/>
      <c r="R25" s="683"/>
      <c r="S25" s="683"/>
      <c r="T25" s="683"/>
      <c r="U25" s="683"/>
    </row>
    <row r="26" spans="1:21" x14ac:dyDescent="0.25">
      <c r="B26" s="664"/>
      <c r="C26" s="664"/>
      <c r="D26" s="664"/>
      <c r="E26" s="664"/>
      <c r="F26" s="664"/>
      <c r="G26" s="665"/>
      <c r="H26" s="664"/>
      <c r="I26" s="664"/>
      <c r="J26" s="664"/>
      <c r="K26" s="664"/>
      <c r="L26" s="664"/>
      <c r="M26" s="664"/>
      <c r="N26" s="664"/>
      <c r="O26" s="664"/>
      <c r="P26" s="664"/>
      <c r="Q26" s="664"/>
      <c r="R26" s="664"/>
      <c r="S26" s="664"/>
      <c r="T26" s="664"/>
      <c r="U26" s="664"/>
    </row>
    <row r="27" spans="1:21" ht="18.75" x14ac:dyDescent="0.25">
      <c r="B27" s="664"/>
      <c r="C27" s="677" t="s">
        <v>304</v>
      </c>
      <c r="D27" s="678"/>
      <c r="E27" s="678"/>
      <c r="F27" s="672"/>
      <c r="G27" s="673"/>
      <c r="H27" s="672"/>
      <c r="I27" s="672"/>
      <c r="J27" s="672"/>
      <c r="K27" s="672"/>
      <c r="L27" s="672"/>
      <c r="M27" s="672"/>
      <c r="N27" s="664"/>
      <c r="O27" s="664"/>
      <c r="P27" s="664"/>
      <c r="Q27" s="664"/>
      <c r="R27" s="664"/>
      <c r="S27" s="664"/>
      <c r="T27" s="664"/>
      <c r="U27" s="664"/>
    </row>
    <row r="28" spans="1:21" ht="18.75" x14ac:dyDescent="0.25">
      <c r="B28" s="664"/>
      <c r="C28" s="674" t="s">
        <v>291</v>
      </c>
      <c r="D28" s="672"/>
      <c r="E28" s="672"/>
      <c r="F28" s="672"/>
      <c r="G28" s="673"/>
      <c r="H28" s="672"/>
      <c r="I28" s="672"/>
      <c r="J28" s="672"/>
      <c r="K28" s="672"/>
      <c r="L28" s="672"/>
      <c r="M28" s="672"/>
      <c r="N28" s="664"/>
      <c r="O28" s="664"/>
      <c r="P28" s="664"/>
      <c r="Q28" s="664"/>
      <c r="R28" s="664"/>
      <c r="S28" s="664"/>
      <c r="T28" s="664"/>
      <c r="U28" s="664"/>
    </row>
    <row r="29" spans="1:21" ht="25.5" customHeight="1" x14ac:dyDescent="0.25">
      <c r="A29" s="676"/>
      <c r="B29" s="664"/>
      <c r="C29" s="675"/>
      <c r="D29" s="681" t="s">
        <v>310</v>
      </c>
      <c r="E29" s="682"/>
      <c r="F29" s="682"/>
      <c r="G29" s="682"/>
      <c r="H29" s="682"/>
      <c r="I29" s="682"/>
      <c r="J29" s="682"/>
      <c r="K29" s="682"/>
      <c r="L29" s="682"/>
      <c r="M29" s="682"/>
      <c r="N29" s="683"/>
      <c r="O29" s="683"/>
      <c r="P29" s="683"/>
      <c r="Q29" s="683"/>
      <c r="R29" s="683"/>
      <c r="S29" s="683"/>
      <c r="T29" s="683"/>
      <c r="U29" s="683"/>
    </row>
    <row r="30" spans="1:21" ht="18.75" x14ac:dyDescent="0.25">
      <c r="B30" s="664"/>
      <c r="C30" s="674" t="s">
        <v>292</v>
      </c>
      <c r="D30" s="672"/>
      <c r="E30" s="672"/>
      <c r="F30" s="672"/>
      <c r="G30" s="673"/>
      <c r="H30" s="672"/>
      <c r="I30" s="672"/>
      <c r="J30" s="672"/>
      <c r="K30" s="672"/>
      <c r="L30" s="672"/>
      <c r="M30" s="672"/>
      <c r="N30" s="664"/>
      <c r="O30" s="664"/>
      <c r="P30" s="664"/>
      <c r="Q30" s="664"/>
      <c r="R30" s="664"/>
      <c r="S30" s="664"/>
      <c r="T30" s="664"/>
      <c r="U30" s="664"/>
    </row>
    <row r="31" spans="1:21" ht="17.25" customHeight="1" x14ac:dyDescent="0.25">
      <c r="A31" s="676" t="s">
        <v>320</v>
      </c>
      <c r="B31" s="664"/>
      <c r="C31" s="675"/>
      <c r="D31" s="681" t="s">
        <v>305</v>
      </c>
      <c r="E31" s="682"/>
      <c r="F31" s="682"/>
      <c r="G31" s="682"/>
      <c r="H31" s="682"/>
      <c r="I31" s="682"/>
      <c r="J31" s="682"/>
      <c r="K31" s="682"/>
      <c r="L31" s="682"/>
      <c r="M31" s="682"/>
      <c r="N31" s="683"/>
      <c r="O31" s="683"/>
      <c r="P31" s="683"/>
      <c r="Q31" s="683"/>
      <c r="R31" s="683"/>
      <c r="S31" s="683"/>
      <c r="T31" s="683"/>
      <c r="U31" s="683"/>
    </row>
    <row r="32" spans="1:21" x14ac:dyDescent="0.25">
      <c r="B32" s="664"/>
      <c r="C32" s="664"/>
      <c r="D32" s="664"/>
      <c r="E32" s="664"/>
      <c r="F32" s="664"/>
      <c r="G32" s="665"/>
      <c r="H32" s="664"/>
      <c r="I32" s="664"/>
      <c r="J32" s="664"/>
      <c r="K32" s="664"/>
      <c r="L32" s="664"/>
      <c r="M32" s="664"/>
      <c r="N32" s="664"/>
      <c r="O32" s="664"/>
      <c r="P32" s="664"/>
      <c r="Q32" s="664"/>
      <c r="R32" s="664"/>
      <c r="S32" s="664"/>
      <c r="T32" s="664"/>
      <c r="U32" s="664"/>
    </row>
    <row r="33" spans="1:21" ht="18.75" x14ac:dyDescent="0.25">
      <c r="B33" s="664"/>
      <c r="C33" s="677" t="s">
        <v>306</v>
      </c>
      <c r="D33" s="678"/>
      <c r="E33" s="678"/>
      <c r="F33" s="672"/>
      <c r="G33" s="673"/>
      <c r="H33" s="672"/>
      <c r="I33" s="672"/>
      <c r="J33" s="672"/>
      <c r="K33" s="672"/>
      <c r="L33" s="672"/>
      <c r="M33" s="672"/>
      <c r="N33" s="664"/>
      <c r="O33" s="664"/>
      <c r="P33" s="664"/>
      <c r="Q33" s="664"/>
      <c r="R33" s="664"/>
      <c r="S33" s="664"/>
      <c r="T33" s="664"/>
      <c r="U33" s="664"/>
    </row>
    <row r="34" spans="1:21" ht="18.75" x14ac:dyDescent="0.25">
      <c r="B34" s="664"/>
      <c r="C34" s="674" t="s">
        <v>291</v>
      </c>
      <c r="D34" s="672"/>
      <c r="E34" s="672"/>
      <c r="F34" s="672"/>
      <c r="G34" s="673"/>
      <c r="H34" s="672"/>
      <c r="I34" s="672"/>
      <c r="J34" s="672"/>
      <c r="K34" s="672"/>
      <c r="L34" s="672"/>
      <c r="M34" s="672"/>
      <c r="N34" s="664"/>
      <c r="O34" s="664"/>
      <c r="P34" s="664"/>
      <c r="Q34" s="664"/>
      <c r="R34" s="664"/>
      <c r="S34" s="664"/>
      <c r="T34" s="664"/>
      <c r="U34" s="664"/>
    </row>
    <row r="35" spans="1:21" ht="111.75" customHeight="1" x14ac:dyDescent="0.25">
      <c r="A35" s="676"/>
      <c r="B35" s="664"/>
      <c r="C35" s="675"/>
      <c r="D35" s="681" t="s">
        <v>311</v>
      </c>
      <c r="E35" s="681"/>
      <c r="F35" s="681"/>
      <c r="G35" s="681"/>
      <c r="H35" s="681"/>
      <c r="I35" s="681"/>
      <c r="J35" s="681"/>
      <c r="K35" s="681"/>
      <c r="L35" s="681"/>
      <c r="M35" s="681"/>
      <c r="N35" s="681"/>
      <c r="O35" s="681"/>
      <c r="P35" s="681"/>
      <c r="Q35" s="681"/>
      <c r="R35" s="681"/>
      <c r="S35" s="681"/>
      <c r="T35" s="681"/>
      <c r="U35" s="681"/>
    </row>
    <row r="36" spans="1:21" ht="18.75" x14ac:dyDescent="0.25">
      <c r="B36" s="664"/>
      <c r="C36" s="674" t="s">
        <v>292</v>
      </c>
      <c r="D36" s="672"/>
      <c r="E36" s="672"/>
      <c r="F36" s="672"/>
      <c r="G36" s="673"/>
      <c r="H36" s="672"/>
      <c r="I36" s="672"/>
      <c r="J36" s="672"/>
      <c r="K36" s="672"/>
      <c r="L36" s="672"/>
      <c r="M36" s="672"/>
      <c r="N36" s="664"/>
      <c r="O36" s="664"/>
      <c r="P36" s="664"/>
      <c r="Q36" s="664"/>
      <c r="R36" s="664"/>
      <c r="S36" s="664"/>
      <c r="T36" s="664"/>
      <c r="U36" s="664"/>
    </row>
    <row r="37" spans="1:21" ht="101.25" customHeight="1" x14ac:dyDescent="0.25">
      <c r="A37" s="676" t="s">
        <v>321</v>
      </c>
      <c r="B37" s="664"/>
      <c r="C37" s="675"/>
      <c r="D37" s="681" t="s">
        <v>327</v>
      </c>
      <c r="E37" s="682"/>
      <c r="F37" s="682"/>
      <c r="G37" s="682"/>
      <c r="H37" s="682"/>
      <c r="I37" s="682"/>
      <c r="J37" s="682"/>
      <c r="K37" s="682"/>
      <c r="L37" s="682"/>
      <c r="M37" s="682"/>
      <c r="N37" s="683"/>
      <c r="O37" s="683"/>
      <c r="P37" s="683"/>
      <c r="Q37" s="683"/>
      <c r="R37" s="683"/>
      <c r="S37" s="683"/>
      <c r="T37" s="683"/>
      <c r="U37" s="683"/>
    </row>
    <row r="38" spans="1:21" x14ac:dyDescent="0.25">
      <c r="B38" s="664"/>
      <c r="C38" s="664"/>
      <c r="D38" s="664"/>
      <c r="E38" s="664"/>
      <c r="F38" s="664"/>
      <c r="G38" s="665"/>
      <c r="H38" s="664"/>
      <c r="I38" s="664"/>
      <c r="J38" s="664"/>
      <c r="K38" s="664"/>
      <c r="L38" s="664"/>
      <c r="M38" s="664"/>
      <c r="N38" s="664"/>
      <c r="O38" s="664"/>
      <c r="P38" s="664"/>
      <c r="Q38" s="664"/>
      <c r="R38" s="664"/>
      <c r="S38" s="664"/>
      <c r="T38" s="664"/>
      <c r="U38" s="664"/>
    </row>
    <row r="39" spans="1:21" ht="18.75" x14ac:dyDescent="0.25">
      <c r="B39" s="664"/>
      <c r="C39" s="677" t="s">
        <v>307</v>
      </c>
      <c r="D39" s="678"/>
      <c r="E39" s="678"/>
      <c r="F39" s="672"/>
      <c r="G39" s="673"/>
      <c r="H39" s="672"/>
      <c r="I39" s="672"/>
      <c r="J39" s="672"/>
      <c r="K39" s="672"/>
      <c r="L39" s="672"/>
      <c r="M39" s="672"/>
      <c r="N39" s="664"/>
      <c r="O39" s="664"/>
      <c r="P39" s="664"/>
      <c r="Q39" s="664"/>
      <c r="R39" s="664"/>
      <c r="S39" s="664"/>
      <c r="T39" s="664"/>
      <c r="U39" s="664"/>
    </row>
    <row r="40" spans="1:21" ht="18.75" x14ac:dyDescent="0.25">
      <c r="B40" s="664"/>
      <c r="C40" s="674" t="s">
        <v>291</v>
      </c>
      <c r="D40" s="672"/>
      <c r="E40" s="672"/>
      <c r="F40" s="672"/>
      <c r="G40" s="673"/>
      <c r="H40" s="672"/>
      <c r="I40" s="672"/>
      <c r="J40" s="672"/>
      <c r="K40" s="672"/>
      <c r="L40" s="672"/>
      <c r="M40" s="672"/>
      <c r="N40" s="664"/>
      <c r="O40" s="664"/>
      <c r="P40" s="664"/>
      <c r="Q40" s="664"/>
      <c r="R40" s="664"/>
      <c r="S40" s="664"/>
      <c r="T40" s="664"/>
      <c r="U40" s="664"/>
    </row>
    <row r="41" spans="1:21" ht="108" customHeight="1" x14ac:dyDescent="0.25">
      <c r="B41" s="664"/>
      <c r="C41" s="675"/>
      <c r="D41" s="681" t="s">
        <v>326</v>
      </c>
      <c r="E41" s="682"/>
      <c r="F41" s="682"/>
      <c r="G41" s="682"/>
      <c r="H41" s="682"/>
      <c r="I41" s="682"/>
      <c r="J41" s="682"/>
      <c r="K41" s="682"/>
      <c r="L41" s="682"/>
      <c r="M41" s="682"/>
      <c r="N41" s="683"/>
      <c r="O41" s="683"/>
      <c r="P41" s="683"/>
      <c r="Q41" s="683"/>
      <c r="R41" s="683"/>
      <c r="S41" s="683"/>
      <c r="T41" s="683"/>
      <c r="U41" s="683"/>
    </row>
    <row r="42" spans="1:21" ht="18.75" x14ac:dyDescent="0.25">
      <c r="B42" s="664"/>
      <c r="C42" s="674" t="s">
        <v>292</v>
      </c>
      <c r="D42" s="672"/>
      <c r="E42" s="672"/>
      <c r="F42" s="672"/>
      <c r="G42" s="673"/>
      <c r="H42" s="672"/>
      <c r="I42" s="672"/>
      <c r="J42" s="672"/>
      <c r="K42" s="672"/>
      <c r="L42" s="672"/>
      <c r="M42" s="672"/>
      <c r="N42" s="664"/>
      <c r="O42" s="664"/>
      <c r="P42" s="664"/>
      <c r="Q42" s="664"/>
      <c r="R42" s="664"/>
      <c r="S42" s="664"/>
      <c r="T42" s="664"/>
      <c r="U42" s="664"/>
    </row>
    <row r="43" spans="1:21" ht="164.25" customHeight="1" x14ac:dyDescent="0.25">
      <c r="A43" s="676" t="s">
        <v>322</v>
      </c>
      <c r="B43" s="664"/>
      <c r="C43" s="675"/>
      <c r="D43" s="681" t="s">
        <v>328</v>
      </c>
      <c r="E43" s="682"/>
      <c r="F43" s="682"/>
      <c r="G43" s="682"/>
      <c r="H43" s="682"/>
      <c r="I43" s="682"/>
      <c r="J43" s="682"/>
      <c r="K43" s="682"/>
      <c r="L43" s="682"/>
      <c r="M43" s="682"/>
      <c r="N43" s="683"/>
      <c r="O43" s="683"/>
      <c r="P43" s="683"/>
      <c r="Q43" s="683"/>
      <c r="R43" s="683"/>
      <c r="S43" s="683"/>
      <c r="T43" s="683"/>
      <c r="U43" s="683"/>
    </row>
    <row r="44" spans="1:21" x14ac:dyDescent="0.25">
      <c r="B44" s="664"/>
      <c r="C44" s="664"/>
      <c r="D44" s="664"/>
      <c r="E44" s="664"/>
      <c r="F44" s="664"/>
      <c r="G44" s="665"/>
      <c r="H44" s="664"/>
      <c r="I44" s="664"/>
      <c r="J44" s="664"/>
      <c r="K44" s="664"/>
      <c r="L44" s="664"/>
      <c r="M44" s="664"/>
      <c r="N44" s="664"/>
      <c r="O44" s="664"/>
      <c r="P44" s="664"/>
      <c r="Q44" s="664"/>
      <c r="R44" s="664"/>
      <c r="S44" s="664"/>
      <c r="T44" s="664"/>
      <c r="U44" s="664"/>
    </row>
    <row r="45" spans="1:21" ht="18.75" x14ac:dyDescent="0.25">
      <c r="B45" s="664"/>
      <c r="C45" s="677" t="s">
        <v>308</v>
      </c>
      <c r="D45" s="678"/>
      <c r="E45" s="678"/>
      <c r="F45" s="679"/>
      <c r="G45" s="680"/>
      <c r="H45" s="672"/>
      <c r="I45" s="672"/>
      <c r="J45" s="672"/>
      <c r="K45" s="672"/>
      <c r="L45" s="672"/>
      <c r="M45" s="672"/>
      <c r="N45" s="664"/>
      <c r="O45" s="664"/>
      <c r="P45" s="664"/>
      <c r="Q45" s="664"/>
      <c r="R45" s="664"/>
      <c r="S45" s="664"/>
      <c r="T45" s="664"/>
      <c r="U45" s="664"/>
    </row>
    <row r="46" spans="1:21" ht="18.75" x14ac:dyDescent="0.25">
      <c r="B46" s="664"/>
      <c r="C46" s="674" t="s">
        <v>291</v>
      </c>
      <c r="D46" s="672"/>
      <c r="E46" s="672"/>
      <c r="F46" s="672"/>
      <c r="G46" s="673"/>
      <c r="H46" s="672"/>
      <c r="I46" s="672"/>
      <c r="J46" s="672"/>
      <c r="K46" s="672"/>
      <c r="L46" s="672"/>
      <c r="M46" s="672"/>
      <c r="N46" s="664"/>
      <c r="O46" s="664"/>
      <c r="P46" s="664"/>
      <c r="Q46" s="664"/>
      <c r="R46" s="664"/>
      <c r="S46" s="664"/>
      <c r="T46" s="664"/>
      <c r="U46" s="664"/>
    </row>
    <row r="47" spans="1:21" ht="25.5" customHeight="1" x14ac:dyDescent="0.25">
      <c r="B47" s="664"/>
      <c r="C47" s="675"/>
      <c r="D47" s="681" t="s">
        <v>329</v>
      </c>
      <c r="E47" s="682"/>
      <c r="F47" s="682"/>
      <c r="G47" s="682"/>
      <c r="H47" s="682"/>
      <c r="I47" s="682"/>
      <c r="J47" s="682"/>
      <c r="K47" s="682"/>
      <c r="L47" s="682"/>
      <c r="M47" s="682"/>
      <c r="N47" s="683"/>
      <c r="O47" s="683"/>
      <c r="P47" s="683"/>
      <c r="Q47" s="683"/>
      <c r="R47" s="683"/>
      <c r="S47" s="683"/>
      <c r="T47" s="683"/>
      <c r="U47" s="683"/>
    </row>
    <row r="48" spans="1:21" ht="18.75" x14ac:dyDescent="0.25">
      <c r="B48" s="664"/>
      <c r="C48" s="674" t="s">
        <v>292</v>
      </c>
      <c r="D48" s="672"/>
      <c r="E48" s="672"/>
      <c r="F48" s="672"/>
      <c r="G48" s="673"/>
      <c r="H48" s="672"/>
      <c r="I48" s="672"/>
      <c r="J48" s="672"/>
      <c r="K48" s="672"/>
      <c r="L48" s="672"/>
      <c r="M48" s="672"/>
      <c r="N48" s="664"/>
      <c r="O48" s="664"/>
      <c r="P48" s="664"/>
      <c r="Q48" s="664"/>
      <c r="R48" s="664"/>
      <c r="S48" s="664"/>
      <c r="T48" s="664"/>
      <c r="U48" s="664"/>
    </row>
    <row r="49" spans="1:21" ht="111.75" customHeight="1" x14ac:dyDescent="0.25">
      <c r="A49" s="676" t="s">
        <v>323</v>
      </c>
      <c r="B49" s="664"/>
      <c r="C49" s="675"/>
      <c r="D49" s="681" t="s">
        <v>330</v>
      </c>
      <c r="E49" s="682"/>
      <c r="F49" s="682"/>
      <c r="G49" s="682"/>
      <c r="H49" s="682"/>
      <c r="I49" s="682"/>
      <c r="J49" s="682"/>
      <c r="K49" s="682"/>
      <c r="L49" s="682"/>
      <c r="M49" s="682"/>
      <c r="N49" s="683"/>
      <c r="O49" s="683"/>
      <c r="P49" s="683"/>
      <c r="Q49" s="683"/>
      <c r="R49" s="683"/>
      <c r="S49" s="683"/>
      <c r="T49" s="683"/>
      <c r="U49" s="683"/>
    </row>
    <row r="50" spans="1:21" x14ac:dyDescent="0.25">
      <c r="B50" s="664"/>
      <c r="C50" s="664"/>
      <c r="D50" s="664"/>
      <c r="E50" s="664"/>
      <c r="F50" s="664"/>
      <c r="G50" s="665"/>
      <c r="H50" s="664"/>
      <c r="I50" s="664"/>
      <c r="J50" s="664"/>
      <c r="K50" s="664"/>
      <c r="L50" s="664"/>
      <c r="M50" s="664"/>
      <c r="N50" s="664"/>
      <c r="O50" s="664"/>
      <c r="P50" s="664"/>
      <c r="Q50" s="664"/>
      <c r="R50" s="664"/>
      <c r="S50" s="664"/>
      <c r="T50" s="664"/>
      <c r="U50" s="664"/>
    </row>
    <row r="51" spans="1:21" ht="18.75" x14ac:dyDescent="0.25">
      <c r="B51" s="664"/>
      <c r="C51" s="677" t="s">
        <v>309</v>
      </c>
      <c r="D51" s="678"/>
      <c r="E51" s="678"/>
      <c r="F51" s="672"/>
      <c r="G51" s="673"/>
      <c r="H51" s="672"/>
      <c r="I51" s="672"/>
      <c r="J51" s="672"/>
      <c r="K51" s="672"/>
      <c r="L51" s="672"/>
      <c r="M51" s="672"/>
      <c r="N51" s="664"/>
      <c r="O51" s="664"/>
      <c r="P51" s="664"/>
      <c r="Q51" s="664"/>
      <c r="R51" s="664"/>
      <c r="S51" s="664"/>
      <c r="T51" s="664"/>
      <c r="U51" s="664"/>
    </row>
    <row r="52" spans="1:21" ht="18.75" x14ac:dyDescent="0.25">
      <c r="B52" s="664"/>
      <c r="C52" s="674" t="s">
        <v>291</v>
      </c>
      <c r="D52" s="672"/>
      <c r="E52" s="672"/>
      <c r="F52" s="672"/>
      <c r="G52" s="673"/>
      <c r="H52" s="672"/>
      <c r="I52" s="672"/>
      <c r="J52" s="672"/>
      <c r="K52" s="672"/>
      <c r="L52" s="672"/>
      <c r="M52" s="672"/>
      <c r="N52" s="664"/>
      <c r="O52" s="664"/>
      <c r="P52" s="664"/>
      <c r="Q52" s="664"/>
      <c r="R52" s="664"/>
      <c r="S52" s="664"/>
      <c r="T52" s="664"/>
      <c r="U52" s="664"/>
    </row>
    <row r="53" spans="1:21" ht="25.5" customHeight="1" x14ac:dyDescent="0.25">
      <c r="B53" s="664"/>
      <c r="C53" s="675"/>
      <c r="D53" s="681" t="s">
        <v>331</v>
      </c>
      <c r="E53" s="682"/>
      <c r="F53" s="682"/>
      <c r="G53" s="682"/>
      <c r="H53" s="682"/>
      <c r="I53" s="682"/>
      <c r="J53" s="682"/>
      <c r="K53" s="682"/>
      <c r="L53" s="682"/>
      <c r="M53" s="682"/>
      <c r="N53" s="683"/>
      <c r="O53" s="683"/>
      <c r="P53" s="683"/>
      <c r="Q53" s="683"/>
      <c r="R53" s="683"/>
      <c r="S53" s="683"/>
      <c r="T53" s="683"/>
      <c r="U53" s="683"/>
    </row>
    <row r="54" spans="1:21" ht="18.75" x14ac:dyDescent="0.25">
      <c r="B54" s="664"/>
      <c r="C54" s="674" t="s">
        <v>292</v>
      </c>
      <c r="D54" s="672"/>
      <c r="E54" s="672"/>
      <c r="F54" s="672"/>
      <c r="G54" s="673"/>
      <c r="H54" s="672"/>
      <c r="I54" s="672"/>
      <c r="J54" s="672"/>
      <c r="K54" s="672"/>
      <c r="L54" s="672"/>
      <c r="M54" s="672"/>
      <c r="N54" s="664"/>
      <c r="O54" s="664"/>
      <c r="P54" s="664"/>
      <c r="Q54" s="664"/>
      <c r="R54" s="664"/>
      <c r="S54" s="664"/>
      <c r="T54" s="664"/>
      <c r="U54" s="664"/>
    </row>
    <row r="55" spans="1:21" ht="60" customHeight="1" x14ac:dyDescent="0.25">
      <c r="A55" s="676" t="s">
        <v>324</v>
      </c>
      <c r="B55" s="664"/>
      <c r="C55" s="675"/>
      <c r="D55" s="681" t="s">
        <v>332</v>
      </c>
      <c r="E55" s="682"/>
      <c r="F55" s="682"/>
      <c r="G55" s="682"/>
      <c r="H55" s="682"/>
      <c r="I55" s="682"/>
      <c r="J55" s="682"/>
      <c r="K55" s="682"/>
      <c r="L55" s="682"/>
      <c r="M55" s="682"/>
      <c r="N55" s="683"/>
      <c r="O55" s="683"/>
      <c r="P55" s="683"/>
      <c r="Q55" s="683"/>
      <c r="R55" s="683"/>
      <c r="S55" s="683"/>
      <c r="T55" s="683"/>
      <c r="U55" s="683"/>
    </row>
  </sheetData>
  <mergeCells count="13">
    <mergeCell ref="G2:O4"/>
    <mergeCell ref="D25:U25"/>
    <mergeCell ref="D23:U23"/>
    <mergeCell ref="D29:U29"/>
    <mergeCell ref="D31:U31"/>
    <mergeCell ref="D49:U49"/>
    <mergeCell ref="D53:U53"/>
    <mergeCell ref="D55:U55"/>
    <mergeCell ref="D35:U35"/>
    <mergeCell ref="D37:U37"/>
    <mergeCell ref="D41:U41"/>
    <mergeCell ref="D43:U43"/>
    <mergeCell ref="D47:U47"/>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S44"/>
  <sheetViews>
    <sheetView showGridLines="0" zoomScale="82" zoomScaleNormal="82" workbookViewId="0">
      <pane ySplit="5" topLeftCell="A24" activePane="bottomLeft" state="frozen"/>
      <selection pane="bottomLeft" activeCell="P24" sqref="P24"/>
    </sheetView>
  </sheetViews>
  <sheetFormatPr defaultRowHeight="15" x14ac:dyDescent="0.25"/>
  <cols>
    <col min="1" max="6" width="10.7109375" style="118" customWidth="1"/>
    <col min="7" max="7" width="10.7109375" style="124" customWidth="1"/>
    <col min="8" max="46" width="10.7109375" style="118" customWidth="1"/>
    <col min="47" max="16384" width="9.140625" style="118"/>
  </cols>
  <sheetData>
    <row r="2" spans="1:18" x14ac:dyDescent="0.25">
      <c r="G2" s="708" t="s">
        <v>172</v>
      </c>
      <c r="H2" s="709"/>
      <c r="I2" s="709"/>
      <c r="J2" s="709"/>
      <c r="K2" s="709"/>
      <c r="L2" s="709"/>
      <c r="M2" s="709"/>
      <c r="N2" s="709"/>
      <c r="O2" s="710"/>
    </row>
    <row r="3" spans="1:18" x14ac:dyDescent="0.25">
      <c r="G3" s="711"/>
      <c r="H3" s="712"/>
      <c r="I3" s="712"/>
      <c r="J3" s="712"/>
      <c r="K3" s="712"/>
      <c r="L3" s="712"/>
      <c r="M3" s="712"/>
      <c r="N3" s="712"/>
      <c r="O3" s="713"/>
    </row>
    <row r="4" spans="1:18" x14ac:dyDescent="0.25">
      <c r="G4" s="714"/>
      <c r="H4" s="715"/>
      <c r="I4" s="715"/>
      <c r="J4" s="715"/>
      <c r="K4" s="715"/>
      <c r="L4" s="715"/>
      <c r="M4" s="715"/>
      <c r="N4" s="715"/>
      <c r="O4" s="716"/>
    </row>
    <row r="7" spans="1:18" ht="18" customHeight="1" x14ac:dyDescent="0.3">
      <c r="E7" s="739" t="s">
        <v>116</v>
      </c>
      <c r="F7" s="740"/>
      <c r="G7" s="738" t="s">
        <v>334</v>
      </c>
      <c r="H7" s="728"/>
      <c r="I7" s="728"/>
      <c r="J7" s="701"/>
    </row>
    <row r="8" spans="1:18" ht="18" customHeight="1" x14ac:dyDescent="0.3">
      <c r="A8" s="119"/>
      <c r="E8" s="749" t="s">
        <v>117</v>
      </c>
      <c r="F8" s="750"/>
      <c r="G8" s="741" t="s">
        <v>335</v>
      </c>
      <c r="H8" s="742"/>
      <c r="I8" s="742"/>
      <c r="J8" s="699"/>
    </row>
    <row r="9" spans="1:18" ht="18" customHeight="1" x14ac:dyDescent="0.3">
      <c r="E9" s="751"/>
      <c r="F9" s="752"/>
      <c r="G9" s="746" t="s">
        <v>336</v>
      </c>
      <c r="H9" s="747"/>
      <c r="I9" s="747"/>
      <c r="J9" s="748"/>
    </row>
    <row r="10" spans="1:18" ht="18" customHeight="1" x14ac:dyDescent="0.3">
      <c r="A10" s="119"/>
      <c r="C10" s="118" t="s">
        <v>120</v>
      </c>
      <c r="E10" s="751"/>
      <c r="F10" s="752"/>
      <c r="G10" s="746"/>
      <c r="H10" s="747"/>
      <c r="I10" s="747"/>
      <c r="J10" s="748"/>
    </row>
    <row r="11" spans="1:18" ht="18" customHeight="1" x14ac:dyDescent="0.3">
      <c r="E11" s="751"/>
      <c r="F11" s="753"/>
      <c r="G11" s="743"/>
      <c r="H11" s="744"/>
      <c r="I11" s="744"/>
      <c r="J11" s="745"/>
    </row>
    <row r="12" spans="1:18" ht="18" customHeight="1" x14ac:dyDescent="0.25">
      <c r="E12" s="733" t="s">
        <v>121</v>
      </c>
      <c r="F12" s="734"/>
      <c r="G12" s="120">
        <v>2013</v>
      </c>
      <c r="H12" s="121"/>
      <c r="I12" s="121"/>
      <c r="J12" s="121"/>
    </row>
    <row r="13" spans="1:18" ht="18" customHeight="1" x14ac:dyDescent="0.25">
      <c r="C13" s="122"/>
      <c r="D13" s="122"/>
      <c r="E13" s="122"/>
      <c r="F13" s="122"/>
      <c r="G13" s="123"/>
      <c r="H13" s="122"/>
      <c r="I13" s="122"/>
      <c r="J13" s="122"/>
      <c r="K13" s="122"/>
    </row>
    <row r="14" spans="1:18" s="366" customFormat="1" x14ac:dyDescent="0.25">
      <c r="A14" s="365" t="s">
        <v>173</v>
      </c>
      <c r="G14" s="367"/>
    </row>
    <row r="15" spans="1:18" ht="18" customHeight="1" x14ac:dyDescent="0.25">
      <c r="H15" s="125"/>
      <c r="L15" s="126"/>
      <c r="M15" s="126"/>
      <c r="N15" s="127"/>
      <c r="O15" s="128"/>
    </row>
    <row r="16" spans="1:18" ht="18" customHeight="1" x14ac:dyDescent="0.25">
      <c r="E16" s="737" t="s">
        <v>30</v>
      </c>
      <c r="F16" s="699"/>
      <c r="H16" s="735" t="s">
        <v>73</v>
      </c>
      <c r="J16" s="729" t="s">
        <v>118</v>
      </c>
      <c r="K16" s="728"/>
      <c r="L16" s="728"/>
      <c r="M16" s="728"/>
      <c r="N16" s="728"/>
      <c r="O16" s="728"/>
      <c r="P16" s="129">
        <v>3</v>
      </c>
      <c r="Q16" s="130"/>
      <c r="R16" s="131"/>
    </row>
    <row r="17" spans="1:19" ht="18" customHeight="1" x14ac:dyDescent="0.25">
      <c r="E17" s="132" t="s">
        <v>6</v>
      </c>
      <c r="F17" s="133" t="s">
        <v>68</v>
      </c>
      <c r="H17" s="736"/>
      <c r="J17" s="730" t="s">
        <v>119</v>
      </c>
      <c r="K17" s="731"/>
      <c r="L17" s="731"/>
      <c r="M17" s="731"/>
      <c r="N17" s="731"/>
      <c r="O17" s="731"/>
      <c r="P17" s="731"/>
      <c r="Q17" s="731"/>
      <c r="R17" s="732"/>
    </row>
    <row r="18" spans="1:19" ht="18" customHeight="1" x14ac:dyDescent="0.25">
      <c r="C18" s="698" t="str">
        <f>G8</f>
        <v>Kalemngorok</v>
      </c>
      <c r="D18" s="699"/>
      <c r="E18" s="323">
        <v>1241</v>
      </c>
      <c r="F18" s="135">
        <v>8531</v>
      </c>
      <c r="H18" s="136">
        <f>ROUNDUP(((F19+F18)/(E18+E19)),0)</f>
        <v>8</v>
      </c>
      <c r="J18" s="137">
        <f>G12</f>
        <v>2013</v>
      </c>
      <c r="K18" s="138">
        <f>(1+P16/100)^(J18-N22)</f>
        <v>1.1255088099999999</v>
      </c>
      <c r="L18" s="697" t="s">
        <v>81</v>
      </c>
      <c r="M18" s="697"/>
      <c r="N18" s="229">
        <f>N22</f>
        <v>2009</v>
      </c>
      <c r="O18" s="139"/>
      <c r="P18" s="702"/>
      <c r="Q18" s="703"/>
      <c r="R18" s="232"/>
    </row>
    <row r="19" spans="1:19" ht="18" customHeight="1" x14ac:dyDescent="0.25">
      <c r="C19" s="700" t="str">
        <f>G9</f>
        <v>Katilu</v>
      </c>
      <c r="D19" s="701"/>
      <c r="E19" s="141">
        <v>2334</v>
      </c>
      <c r="F19" s="141">
        <v>17686</v>
      </c>
      <c r="J19" s="536">
        <f>J18+10</f>
        <v>2023</v>
      </c>
      <c r="K19" s="142">
        <f>(1+P16/100)^(J19-N22)</f>
        <v>1.512589724855111</v>
      </c>
      <c r="L19" s="696" t="s">
        <v>81</v>
      </c>
      <c r="M19" s="696"/>
      <c r="N19" s="230">
        <f>N22</f>
        <v>2009</v>
      </c>
      <c r="O19" s="139">
        <f>(1+P16/100)^(J19-J18)</f>
        <v>1.3439163793441218</v>
      </c>
      <c r="P19" s="696" t="s">
        <v>81</v>
      </c>
      <c r="Q19" s="696"/>
      <c r="R19" s="232">
        <f>J18</f>
        <v>2013</v>
      </c>
    </row>
    <row r="20" spans="1:19" ht="18" customHeight="1" x14ac:dyDescent="0.25">
      <c r="C20" s="700"/>
      <c r="D20" s="704"/>
      <c r="E20" s="490"/>
      <c r="F20" s="491"/>
      <c r="J20" s="536">
        <f>J18+20</f>
        <v>2033</v>
      </c>
      <c r="K20" s="143">
        <f>(1+P16/100)^(J20-N22)</f>
        <v>2.0327941064604018</v>
      </c>
      <c r="L20" s="696" t="s">
        <v>81</v>
      </c>
      <c r="M20" s="696"/>
      <c r="N20" s="231">
        <f>N22</f>
        <v>2009</v>
      </c>
      <c r="O20" s="144">
        <f>(1+P16/100)^(J20-J18)</f>
        <v>1.8061112346694133</v>
      </c>
      <c r="P20" s="696" t="s">
        <v>81</v>
      </c>
      <c r="Q20" s="696"/>
      <c r="R20" s="231">
        <f>J18</f>
        <v>2013</v>
      </c>
    </row>
    <row r="21" spans="1:19" ht="18" customHeight="1" x14ac:dyDescent="0.25">
      <c r="C21" s="700"/>
      <c r="D21" s="704"/>
      <c r="E21" s="490"/>
      <c r="F21" s="491"/>
      <c r="J21" s="145"/>
      <c r="K21" s="146"/>
      <c r="L21" s="147"/>
      <c r="M21" s="147"/>
      <c r="N21" s="148"/>
      <c r="O21" s="146"/>
      <c r="P21" s="147"/>
      <c r="Q21" s="149"/>
      <c r="R21" s="148"/>
    </row>
    <row r="22" spans="1:19" ht="18" customHeight="1" x14ac:dyDescent="0.25">
      <c r="C22" s="700"/>
      <c r="D22" s="704"/>
      <c r="E22" s="490"/>
      <c r="F22" s="491"/>
      <c r="J22" s="717" t="s">
        <v>114</v>
      </c>
      <c r="K22" s="718"/>
      <c r="L22" s="718"/>
      <c r="M22" s="719"/>
      <c r="N22" s="140">
        <v>2009</v>
      </c>
      <c r="O22" s="146"/>
      <c r="P22" s="147"/>
      <c r="Q22" s="149"/>
      <c r="R22" s="148"/>
    </row>
    <row r="23" spans="1:19" ht="18" customHeight="1" x14ac:dyDescent="0.25">
      <c r="E23" s="492"/>
      <c r="F23" s="492"/>
    </row>
    <row r="24" spans="1:19" ht="18" customHeight="1" x14ac:dyDescent="0.25">
      <c r="C24" s="695" t="s">
        <v>65</v>
      </c>
      <c r="D24" s="695"/>
      <c r="E24" s="150">
        <f>SUM(E18:E22)</f>
        <v>3575</v>
      </c>
      <c r="F24" s="150">
        <f>SUM(F18:F22)</f>
        <v>26217</v>
      </c>
      <c r="N24" s="127"/>
      <c r="O24" s="128"/>
    </row>
    <row r="25" spans="1:19" ht="18" customHeight="1" x14ac:dyDescent="0.25">
      <c r="E25" s="151"/>
      <c r="F25" s="151"/>
      <c r="N25" s="127"/>
      <c r="O25" s="128"/>
    </row>
    <row r="26" spans="1:19" s="366" customFormat="1" x14ac:dyDescent="0.25">
      <c r="A26" s="365" t="s">
        <v>174</v>
      </c>
      <c r="G26" s="367"/>
    </row>
    <row r="27" spans="1:19" ht="15" customHeight="1" x14ac:dyDescent="0.25"/>
    <row r="28" spans="1:19" ht="15" customHeight="1" x14ac:dyDescent="0.25">
      <c r="I28" s="727" t="s">
        <v>66</v>
      </c>
      <c r="J28" s="728"/>
      <c r="K28" s="728"/>
      <c r="L28" s="728"/>
      <c r="M28" s="728"/>
      <c r="N28" s="701"/>
      <c r="O28" s="152"/>
      <c r="P28" s="152"/>
      <c r="Q28" s="153"/>
    </row>
    <row r="29" spans="1:19" ht="15" customHeight="1" x14ac:dyDescent="0.25">
      <c r="I29" s="725" t="s">
        <v>3</v>
      </c>
      <c r="J29" s="701"/>
      <c r="K29" s="725" t="s">
        <v>4</v>
      </c>
      <c r="L29" s="701"/>
      <c r="M29" s="726" t="s">
        <v>11</v>
      </c>
      <c r="N29" s="726"/>
    </row>
    <row r="30" spans="1:19" x14ac:dyDescent="0.25">
      <c r="B30" s="154"/>
      <c r="G30" s="151"/>
      <c r="I30" s="720" t="s">
        <v>31</v>
      </c>
      <c r="J30" s="721"/>
      <c r="K30" s="720" t="s">
        <v>32</v>
      </c>
      <c r="L30" s="721"/>
      <c r="M30" s="720" t="s">
        <v>33</v>
      </c>
      <c r="N30" s="722"/>
    </row>
    <row r="31" spans="1:19" x14ac:dyDescent="0.25">
      <c r="I31" s="707">
        <v>50</v>
      </c>
      <c r="J31" s="701"/>
      <c r="K31" s="707">
        <v>100</v>
      </c>
      <c r="L31" s="701"/>
      <c r="M31" s="723">
        <v>200</v>
      </c>
      <c r="N31" s="724"/>
      <c r="P31" s="693" t="s">
        <v>303</v>
      </c>
      <c r="Q31" s="694"/>
      <c r="R31" s="694"/>
      <c r="S31" s="694"/>
    </row>
    <row r="32" spans="1:19" x14ac:dyDescent="0.25">
      <c r="E32" s="122" t="s">
        <v>0</v>
      </c>
      <c r="F32" s="122" t="s">
        <v>1</v>
      </c>
      <c r="G32" s="155" t="s">
        <v>6</v>
      </c>
    </row>
    <row r="33" spans="3:14" x14ac:dyDescent="0.25">
      <c r="C33" s="153"/>
      <c r="E33" s="156">
        <f>N22</f>
        <v>2009</v>
      </c>
      <c r="F33" s="157">
        <f>F24</f>
        <v>26217</v>
      </c>
      <c r="G33" s="158">
        <f>E24</f>
        <v>3575</v>
      </c>
      <c r="H33" s="159"/>
      <c r="I33" s="160">
        <f>F33*I31</f>
        <v>1310850</v>
      </c>
      <c r="J33" s="161" t="s">
        <v>28</v>
      </c>
      <c r="K33" s="160">
        <f>F33*K31</f>
        <v>2621700</v>
      </c>
      <c r="L33" s="161" t="s">
        <v>28</v>
      </c>
      <c r="M33" s="160">
        <f>F33*M31</f>
        <v>5243400</v>
      </c>
      <c r="N33" s="161" t="s">
        <v>28</v>
      </c>
    </row>
    <row r="34" spans="3:14" x14ac:dyDescent="0.25">
      <c r="E34" s="162"/>
      <c r="F34" s="163"/>
      <c r="G34" s="164"/>
      <c r="H34" s="165"/>
      <c r="I34" s="166">
        <f>I33*0.001</f>
        <v>1310.8500000000001</v>
      </c>
      <c r="J34" s="167" t="s">
        <v>5</v>
      </c>
      <c r="K34" s="166">
        <f>K33*0.001</f>
        <v>2621.7000000000003</v>
      </c>
      <c r="L34" s="167" t="s">
        <v>5</v>
      </c>
      <c r="M34" s="166">
        <f>M33*0.001</f>
        <v>5243.4000000000005</v>
      </c>
      <c r="N34" s="167" t="s">
        <v>5</v>
      </c>
    </row>
    <row r="35" spans="3:14" x14ac:dyDescent="0.25">
      <c r="E35" s="156">
        <f>J18</f>
        <v>2013</v>
      </c>
      <c r="F35" s="157">
        <f>F33*K18</f>
        <v>29507.464471769999</v>
      </c>
      <c r="G35" s="158">
        <f>F35/H18</f>
        <v>3688.4330589712499</v>
      </c>
      <c r="H35" s="159"/>
      <c r="I35" s="160">
        <f>F35*I31</f>
        <v>1475373.2235884999</v>
      </c>
      <c r="J35" s="161" t="s">
        <v>28</v>
      </c>
      <c r="K35" s="160">
        <f>F35*K31</f>
        <v>2950746.4471769999</v>
      </c>
      <c r="L35" s="161" t="s">
        <v>28</v>
      </c>
      <c r="M35" s="160">
        <f>F35*M31</f>
        <v>5901492.8943539998</v>
      </c>
      <c r="N35" s="161" t="s">
        <v>28</v>
      </c>
    </row>
    <row r="36" spans="3:14" x14ac:dyDescent="0.25">
      <c r="E36" s="162"/>
      <c r="F36" s="163"/>
      <c r="G36" s="164"/>
      <c r="H36" s="165"/>
      <c r="I36" s="166">
        <f>I35*0.001</f>
        <v>1475.3732235885</v>
      </c>
      <c r="J36" s="167" t="s">
        <v>5</v>
      </c>
      <c r="K36" s="166">
        <f>K35*0.001</f>
        <v>2950.7464471769999</v>
      </c>
      <c r="L36" s="167" t="s">
        <v>5</v>
      </c>
      <c r="M36" s="166">
        <f>M35*0.001</f>
        <v>5901.4928943539999</v>
      </c>
      <c r="N36" s="167" t="s">
        <v>5</v>
      </c>
    </row>
    <row r="37" spans="3:14" x14ac:dyDescent="0.25">
      <c r="E37" s="156">
        <f>J19</f>
        <v>2023</v>
      </c>
      <c r="F37" s="157">
        <f>F33*K19</f>
        <v>39655.564816526443</v>
      </c>
      <c r="G37" s="158">
        <f>F37/H18</f>
        <v>4956.9456020658054</v>
      </c>
      <c r="H37" s="159"/>
      <c r="I37" s="160">
        <f>F37*I31</f>
        <v>1982778.2408263222</v>
      </c>
      <c r="J37" s="161" t="s">
        <v>28</v>
      </c>
      <c r="K37" s="160">
        <f>F37*K31</f>
        <v>3965556.4816526445</v>
      </c>
      <c r="L37" s="161" t="s">
        <v>28</v>
      </c>
      <c r="M37" s="160">
        <f>F37*M31</f>
        <v>7931112.9633052889</v>
      </c>
      <c r="N37" s="161" t="s">
        <v>28</v>
      </c>
    </row>
    <row r="38" spans="3:14" x14ac:dyDescent="0.25">
      <c r="E38" s="162"/>
      <c r="F38" s="168"/>
      <c r="G38" s="169"/>
      <c r="H38" s="165"/>
      <c r="I38" s="170">
        <f>I37*0.001</f>
        <v>1982.7782408263222</v>
      </c>
      <c r="J38" s="167" t="s">
        <v>5</v>
      </c>
      <c r="K38" s="170">
        <f>K37*0.001</f>
        <v>3965.5564816526444</v>
      </c>
      <c r="L38" s="167" t="s">
        <v>5</v>
      </c>
      <c r="M38" s="170">
        <f>M37*0.001</f>
        <v>7931.1129633052888</v>
      </c>
      <c r="N38" s="167" t="s">
        <v>5</v>
      </c>
    </row>
    <row r="39" spans="3:14" x14ac:dyDescent="0.25">
      <c r="E39" s="156">
        <f>J20</f>
        <v>2033</v>
      </c>
      <c r="F39" s="157">
        <f>F33*K20</f>
        <v>53293.763089072352</v>
      </c>
      <c r="G39" s="158">
        <f>F39/H18</f>
        <v>6661.720386134044</v>
      </c>
      <c r="H39" s="159"/>
      <c r="I39" s="160">
        <f>F39*I31</f>
        <v>2664688.1544536175</v>
      </c>
      <c r="J39" s="161" t="s">
        <v>28</v>
      </c>
      <c r="K39" s="160">
        <f>F39*K31</f>
        <v>5329376.308907235</v>
      </c>
      <c r="L39" s="161" t="s">
        <v>28</v>
      </c>
      <c r="M39" s="160">
        <f>F39*M31</f>
        <v>10658752.61781447</v>
      </c>
      <c r="N39" s="161" t="s">
        <v>28</v>
      </c>
    </row>
    <row r="40" spans="3:14" x14ac:dyDescent="0.25">
      <c r="E40" s="162"/>
      <c r="F40" s="168"/>
      <c r="G40" s="171"/>
      <c r="H40" s="168"/>
      <c r="I40" s="170">
        <f>I39*0.001</f>
        <v>2664.6881544536177</v>
      </c>
      <c r="J40" s="167" t="s">
        <v>5</v>
      </c>
      <c r="K40" s="170">
        <f>K39*0.001</f>
        <v>5329.3763089072354</v>
      </c>
      <c r="L40" s="167" t="s">
        <v>5</v>
      </c>
      <c r="M40" s="170">
        <f>M39*0.001</f>
        <v>10658.752617814471</v>
      </c>
      <c r="N40" s="167" t="s">
        <v>5</v>
      </c>
    </row>
    <row r="42" spans="3:14" x14ac:dyDescent="0.25">
      <c r="E42" s="705" t="s">
        <v>7</v>
      </c>
      <c r="F42" s="706"/>
      <c r="G42" s="172" t="s">
        <v>8</v>
      </c>
      <c r="K42" s="124"/>
    </row>
    <row r="43" spans="3:14" ht="15" customHeight="1" x14ac:dyDescent="0.25">
      <c r="E43" s="705" t="s">
        <v>9</v>
      </c>
      <c r="F43" s="706"/>
      <c r="G43" s="172" t="s">
        <v>10</v>
      </c>
      <c r="K43" s="124"/>
    </row>
    <row r="44" spans="3:14" ht="15" customHeight="1" x14ac:dyDescent="0.25">
      <c r="E44" s="705" t="s">
        <v>12</v>
      </c>
      <c r="F44" s="706"/>
      <c r="G44" s="172" t="s">
        <v>13</v>
      </c>
      <c r="K44" s="124"/>
    </row>
  </sheetData>
  <sheetProtection selectLockedCells="1"/>
  <mergeCells count="40">
    <mergeCell ref="J17:R17"/>
    <mergeCell ref="E12:F12"/>
    <mergeCell ref="H16:H17"/>
    <mergeCell ref="E16:F16"/>
    <mergeCell ref="G7:J7"/>
    <mergeCell ref="E7:F7"/>
    <mergeCell ref="G8:J8"/>
    <mergeCell ref="G11:J11"/>
    <mergeCell ref="G10:J10"/>
    <mergeCell ref="G9:J9"/>
    <mergeCell ref="E8:F11"/>
    <mergeCell ref="E42:F42"/>
    <mergeCell ref="K31:L31"/>
    <mergeCell ref="E43:F43"/>
    <mergeCell ref="E44:F44"/>
    <mergeCell ref="G2:O4"/>
    <mergeCell ref="J22:M22"/>
    <mergeCell ref="I31:J31"/>
    <mergeCell ref="K30:L30"/>
    <mergeCell ref="M30:N30"/>
    <mergeCell ref="M31:N31"/>
    <mergeCell ref="I30:J30"/>
    <mergeCell ref="I29:J29"/>
    <mergeCell ref="K29:L29"/>
    <mergeCell ref="M29:N29"/>
    <mergeCell ref="I28:N28"/>
    <mergeCell ref="J16:O16"/>
    <mergeCell ref="P31:S31"/>
    <mergeCell ref="C24:D24"/>
    <mergeCell ref="L19:M19"/>
    <mergeCell ref="L20:M20"/>
    <mergeCell ref="L18:M18"/>
    <mergeCell ref="P20:Q20"/>
    <mergeCell ref="C18:D18"/>
    <mergeCell ref="C19:D19"/>
    <mergeCell ref="P18:Q18"/>
    <mergeCell ref="C21:D21"/>
    <mergeCell ref="C22:D22"/>
    <mergeCell ref="C20:D20"/>
    <mergeCell ref="P19:Q19"/>
  </mergeCells>
  <pageMargins left="0.7" right="0.7" top="0.75" bottom="0.75" header="0.3" footer="0.3"/>
  <pageSetup paperSize="9" orientation="portrait" r:id="rId1"/>
  <ignoredErrors>
    <ignoredError sqref="I35 I37 I39 K35 K37 K39 M35 M37 M39"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2:Q17"/>
  <sheetViews>
    <sheetView showGridLines="0" zoomScale="82" zoomScaleNormal="82" workbookViewId="0">
      <selection activeCell="N10" sqref="N10:Q10"/>
    </sheetView>
  </sheetViews>
  <sheetFormatPr defaultRowHeight="15" x14ac:dyDescent="0.25"/>
  <cols>
    <col min="1" max="6" width="10.7109375" style="118" customWidth="1"/>
    <col min="7" max="7" width="10.7109375" style="124" customWidth="1"/>
    <col min="8" max="46" width="10.7109375" style="118" customWidth="1"/>
    <col min="47" max="16384" width="9.140625" style="118"/>
  </cols>
  <sheetData>
    <row r="2" spans="1:17" x14ac:dyDescent="0.25">
      <c r="G2" s="757" t="s">
        <v>178</v>
      </c>
      <c r="H2" s="758"/>
      <c r="I2" s="758"/>
      <c r="J2" s="758"/>
      <c r="K2" s="758"/>
      <c r="L2" s="758"/>
      <c r="M2" s="758"/>
      <c r="N2" s="758"/>
      <c r="O2" s="759"/>
    </row>
    <row r="3" spans="1:17" x14ac:dyDescent="0.25">
      <c r="G3" s="760"/>
      <c r="H3" s="761"/>
      <c r="I3" s="761"/>
      <c r="J3" s="761"/>
      <c r="K3" s="761"/>
      <c r="L3" s="761"/>
      <c r="M3" s="761"/>
      <c r="N3" s="761"/>
      <c r="O3" s="762"/>
    </row>
    <row r="4" spans="1:17" x14ac:dyDescent="0.25">
      <c r="G4" s="763"/>
      <c r="H4" s="764"/>
      <c r="I4" s="764"/>
      <c r="J4" s="764"/>
      <c r="K4" s="764"/>
      <c r="L4" s="764"/>
      <c r="M4" s="764"/>
      <c r="N4" s="764"/>
      <c r="O4" s="765"/>
    </row>
    <row r="5" spans="1:17" x14ac:dyDescent="0.25">
      <c r="G5" s="343"/>
      <c r="H5" s="343"/>
      <c r="I5" s="343"/>
      <c r="J5" s="343"/>
      <c r="K5" s="343"/>
      <c r="L5" s="343"/>
      <c r="M5" s="343"/>
      <c r="N5" s="343"/>
      <c r="O5" s="343"/>
      <c r="P5" s="203"/>
    </row>
    <row r="6" spans="1:17" s="153" customFormat="1" x14ac:dyDescent="0.25">
      <c r="A6" s="173"/>
      <c r="G6" s="176"/>
    </row>
    <row r="7" spans="1:17" ht="15" customHeight="1" x14ac:dyDescent="0.25">
      <c r="G7" s="177"/>
      <c r="I7" s="727" t="s">
        <v>67</v>
      </c>
      <c r="J7" s="728"/>
      <c r="K7" s="728"/>
      <c r="L7" s="701"/>
      <c r="M7" s="178"/>
      <c r="N7" s="178"/>
      <c r="O7" s="178"/>
      <c r="P7" s="178"/>
    </row>
    <row r="8" spans="1:17" x14ac:dyDescent="0.25">
      <c r="A8" s="179"/>
      <c r="B8" s="179"/>
      <c r="G8" s="176"/>
      <c r="I8" s="754" t="s">
        <v>2</v>
      </c>
      <c r="J8" s="755"/>
      <c r="K8" s="728"/>
      <c r="L8" s="701"/>
      <c r="M8" s="756"/>
      <c r="N8" s="756"/>
      <c r="O8" s="756"/>
      <c r="P8" s="756"/>
    </row>
    <row r="9" spans="1:17" hidden="1" x14ac:dyDescent="0.25">
      <c r="A9" s="179"/>
      <c r="B9" s="180"/>
      <c r="G9" s="151"/>
      <c r="I9" s="766" t="s">
        <v>34</v>
      </c>
      <c r="J9" s="767"/>
      <c r="K9" s="728"/>
      <c r="L9" s="701"/>
      <c r="M9" s="768"/>
      <c r="N9" s="768"/>
      <c r="O9" s="768"/>
      <c r="P9" s="768"/>
    </row>
    <row r="10" spans="1:17" x14ac:dyDescent="0.25">
      <c r="A10" s="179"/>
      <c r="B10" s="180"/>
      <c r="I10" s="707">
        <v>20</v>
      </c>
      <c r="J10" s="769"/>
      <c r="K10" s="728"/>
      <c r="L10" s="701"/>
      <c r="M10" s="662"/>
      <c r="N10" s="693" t="s">
        <v>303</v>
      </c>
      <c r="O10" s="694"/>
      <c r="P10" s="694"/>
      <c r="Q10" s="694"/>
    </row>
    <row r="11" spans="1:17" x14ac:dyDescent="0.25">
      <c r="A11" s="179"/>
      <c r="B11" s="181"/>
      <c r="F11" s="122" t="s">
        <v>0</v>
      </c>
      <c r="G11" s="122" t="s">
        <v>1</v>
      </c>
      <c r="M11" s="182"/>
      <c r="N11" s="182"/>
      <c r="O11" s="182"/>
      <c r="P11" s="182"/>
    </row>
    <row r="12" spans="1:17" x14ac:dyDescent="0.25">
      <c r="A12" s="179"/>
      <c r="B12" s="183"/>
      <c r="F12" s="184">
        <f>'1 - General Data'!J18</f>
        <v>2013</v>
      </c>
      <c r="G12" s="185">
        <f>'1 - General Data'!F35</f>
        <v>29507.464471769999</v>
      </c>
      <c r="H12" s="159"/>
      <c r="I12" s="770">
        <f>G12*I10</f>
        <v>590149.28943539993</v>
      </c>
      <c r="J12" s="771"/>
      <c r="K12" s="772" t="s">
        <v>28</v>
      </c>
      <c r="L12" s="773"/>
      <c r="M12" s="186"/>
      <c r="N12" s="186"/>
      <c r="O12" s="186"/>
      <c r="P12" s="186"/>
    </row>
    <row r="13" spans="1:17" x14ac:dyDescent="0.25">
      <c r="A13" s="179"/>
      <c r="B13" s="187"/>
      <c r="F13" s="162"/>
      <c r="G13" s="163"/>
      <c r="H13" s="165"/>
      <c r="I13" s="774">
        <f>I12*0.001</f>
        <v>590.14928943539996</v>
      </c>
      <c r="J13" s="775"/>
      <c r="K13" s="776" t="s">
        <v>5</v>
      </c>
      <c r="L13" s="777"/>
      <c r="M13" s="188"/>
      <c r="N13" s="188"/>
      <c r="O13" s="188"/>
      <c r="P13" s="188"/>
    </row>
    <row r="14" spans="1:17" x14ac:dyDescent="0.25">
      <c r="A14" s="179"/>
      <c r="B14" s="187"/>
      <c r="F14" s="184">
        <f>'1 - General Data'!J19</f>
        <v>2023</v>
      </c>
      <c r="G14" s="185">
        <f>'1 - General Data'!F37</f>
        <v>39655.564816526443</v>
      </c>
      <c r="H14" s="159"/>
      <c r="I14" s="770">
        <f>G14*I10</f>
        <v>793111.2963305288</v>
      </c>
      <c r="J14" s="771"/>
      <c r="K14" s="772" t="s">
        <v>28</v>
      </c>
      <c r="L14" s="773"/>
      <c r="M14" s="186"/>
      <c r="N14" s="186"/>
      <c r="O14" s="186"/>
      <c r="P14" s="186"/>
    </row>
    <row r="15" spans="1:17" x14ac:dyDescent="0.25">
      <c r="A15" s="179"/>
      <c r="B15" s="179"/>
      <c r="F15" s="162"/>
      <c r="G15" s="168"/>
      <c r="H15" s="165"/>
      <c r="I15" s="774">
        <f>I14*0.001</f>
        <v>793.11129633052883</v>
      </c>
      <c r="J15" s="778"/>
      <c r="K15" s="776" t="s">
        <v>5</v>
      </c>
      <c r="L15" s="779"/>
      <c r="M15" s="189"/>
      <c r="N15" s="188"/>
      <c r="O15" s="189"/>
      <c r="P15" s="188"/>
    </row>
    <row r="16" spans="1:17" x14ac:dyDescent="0.25">
      <c r="A16" s="179"/>
      <c r="B16" s="187"/>
      <c r="F16" s="184">
        <f>'1 - General Data'!J20</f>
        <v>2033</v>
      </c>
      <c r="G16" s="185">
        <f>'1 - General Data'!F39</f>
        <v>53293.763089072352</v>
      </c>
      <c r="H16" s="159"/>
      <c r="I16" s="770">
        <f>G16*I10</f>
        <v>1065875.2617814471</v>
      </c>
      <c r="J16" s="780"/>
      <c r="K16" s="772" t="s">
        <v>28</v>
      </c>
      <c r="L16" s="773"/>
      <c r="M16" s="186"/>
      <c r="N16" s="186"/>
      <c r="O16" s="186"/>
      <c r="P16" s="186"/>
    </row>
    <row r="17" spans="6:16" x14ac:dyDescent="0.25">
      <c r="F17" s="162"/>
      <c r="G17" s="168"/>
      <c r="H17" s="168"/>
      <c r="I17" s="781">
        <f>I16*0.001</f>
        <v>1065.8752617814471</v>
      </c>
      <c r="J17" s="782"/>
      <c r="K17" s="783" t="s">
        <v>5</v>
      </c>
      <c r="L17" s="784"/>
      <c r="M17" s="189"/>
      <c r="N17" s="188"/>
      <c r="O17" s="189"/>
      <c r="P17" s="188"/>
    </row>
  </sheetData>
  <sheetProtection selectLockedCells="1"/>
  <mergeCells count="22">
    <mergeCell ref="I15:J15"/>
    <mergeCell ref="K15:L15"/>
    <mergeCell ref="I16:J16"/>
    <mergeCell ref="K16:L16"/>
    <mergeCell ref="I17:J17"/>
    <mergeCell ref="K17:L17"/>
    <mergeCell ref="I12:J12"/>
    <mergeCell ref="K12:L12"/>
    <mergeCell ref="I13:J13"/>
    <mergeCell ref="K13:L13"/>
    <mergeCell ref="I14:J14"/>
    <mergeCell ref="K14:L14"/>
    <mergeCell ref="I9:L9"/>
    <mergeCell ref="M9:N9"/>
    <mergeCell ref="O9:P9"/>
    <mergeCell ref="I10:L10"/>
    <mergeCell ref="N10:Q10"/>
    <mergeCell ref="I7:L7"/>
    <mergeCell ref="I8:L8"/>
    <mergeCell ref="M8:N8"/>
    <mergeCell ref="G2:O4"/>
    <mergeCell ref="O8:P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2:U100"/>
  <sheetViews>
    <sheetView showGridLines="0" zoomScale="82" zoomScaleNormal="82" workbookViewId="0">
      <pane ySplit="6" topLeftCell="A7" activePane="bottomLeft" state="frozen"/>
      <selection pane="bottomLeft" activeCell="T64" sqref="T64:T66"/>
    </sheetView>
  </sheetViews>
  <sheetFormatPr defaultRowHeight="15" x14ac:dyDescent="0.25"/>
  <cols>
    <col min="1" max="6" width="10.7109375" style="118" customWidth="1"/>
    <col min="7" max="7" width="10.7109375" style="124" customWidth="1"/>
    <col min="8" max="46" width="10.7109375" style="118" customWidth="1"/>
    <col min="47" max="16384" width="9.140625" style="118"/>
  </cols>
  <sheetData>
    <row r="2" spans="1:18" x14ac:dyDescent="0.25">
      <c r="G2" s="799" t="s">
        <v>179</v>
      </c>
      <c r="H2" s="800"/>
      <c r="I2" s="800"/>
      <c r="J2" s="800"/>
      <c r="K2" s="800"/>
      <c r="L2" s="800"/>
      <c r="M2" s="800"/>
      <c r="N2" s="800"/>
      <c r="O2" s="801"/>
    </row>
    <row r="3" spans="1:18" x14ac:dyDescent="0.25">
      <c r="G3" s="802"/>
      <c r="H3" s="803"/>
      <c r="I3" s="803"/>
      <c r="J3" s="803"/>
      <c r="K3" s="803"/>
      <c r="L3" s="803"/>
      <c r="M3" s="803"/>
      <c r="N3" s="803"/>
      <c r="O3" s="804"/>
    </row>
    <row r="4" spans="1:18" x14ac:dyDescent="0.25">
      <c r="G4" s="805"/>
      <c r="H4" s="806"/>
      <c r="I4" s="806"/>
      <c r="J4" s="806"/>
      <c r="K4" s="806"/>
      <c r="L4" s="806"/>
      <c r="M4" s="806"/>
      <c r="N4" s="806"/>
      <c r="O4" s="807"/>
    </row>
    <row r="5" spans="1:18" x14ac:dyDescent="0.25">
      <c r="G5" s="343"/>
      <c r="H5" s="343"/>
      <c r="I5" s="343"/>
      <c r="J5" s="343"/>
      <c r="K5" s="343"/>
      <c r="L5" s="343"/>
      <c r="M5" s="343"/>
      <c r="N5" s="343"/>
      <c r="O5" s="343"/>
      <c r="P5" s="203"/>
    </row>
    <row r="7" spans="1:18" s="369" customFormat="1" x14ac:dyDescent="0.25">
      <c r="A7" s="368"/>
      <c r="B7" s="368" t="s">
        <v>175</v>
      </c>
      <c r="G7" s="370"/>
    </row>
    <row r="8" spans="1:18" s="153" customFormat="1" x14ac:dyDescent="0.25">
      <c r="A8" s="173"/>
      <c r="B8" s="190"/>
      <c r="G8" s="174"/>
    </row>
    <row r="9" spans="1:18" x14ac:dyDescent="0.25">
      <c r="C9" s="191" t="s">
        <v>70</v>
      </c>
      <c r="F9" s="788" t="s">
        <v>15</v>
      </c>
      <c r="G9" s="699"/>
      <c r="H9" s="791" t="s">
        <v>59</v>
      </c>
      <c r="K9" s="191" t="s">
        <v>71</v>
      </c>
      <c r="M9" s="794" t="s">
        <v>26</v>
      </c>
      <c r="N9" s="742"/>
      <c r="O9" s="699"/>
    </row>
    <row r="10" spans="1:18" ht="15" customHeight="1" x14ac:dyDescent="0.25">
      <c r="F10" s="789"/>
      <c r="G10" s="790"/>
      <c r="H10" s="792"/>
      <c r="K10" s="124"/>
      <c r="M10" s="795" t="s">
        <v>27</v>
      </c>
      <c r="N10" s="744"/>
      <c r="O10" s="745"/>
    </row>
    <row r="11" spans="1:18" x14ac:dyDescent="0.25">
      <c r="F11" s="796" t="s">
        <v>35</v>
      </c>
      <c r="G11" s="745"/>
      <c r="H11" s="793"/>
      <c r="K11" s="124"/>
      <c r="M11" s="797">
        <v>50</v>
      </c>
      <c r="N11" s="798"/>
      <c r="O11" s="721"/>
    </row>
    <row r="12" spans="1:18" x14ac:dyDescent="0.25">
      <c r="E12" s="192" t="s">
        <v>16</v>
      </c>
      <c r="F12" s="785">
        <v>7</v>
      </c>
      <c r="G12" s="812"/>
      <c r="H12" s="193">
        <v>0.5</v>
      </c>
      <c r="K12" s="124"/>
    </row>
    <row r="13" spans="1:18" x14ac:dyDescent="0.25">
      <c r="E13" s="192" t="s">
        <v>17</v>
      </c>
      <c r="F13" s="785">
        <v>22</v>
      </c>
      <c r="G13" s="812"/>
      <c r="H13" s="193">
        <v>0.1</v>
      </c>
      <c r="K13" s="124"/>
    </row>
    <row r="14" spans="1:18" x14ac:dyDescent="0.25">
      <c r="E14" s="192" t="s">
        <v>18</v>
      </c>
      <c r="F14" s="785">
        <v>17</v>
      </c>
      <c r="G14" s="812"/>
      <c r="H14" s="193">
        <v>0.1</v>
      </c>
      <c r="K14" s="124"/>
    </row>
    <row r="15" spans="1:18" x14ac:dyDescent="0.25">
      <c r="E15" s="192" t="s">
        <v>19</v>
      </c>
      <c r="F15" s="785">
        <v>3</v>
      </c>
      <c r="G15" s="812"/>
      <c r="H15" s="193">
        <v>1.1000000000000001</v>
      </c>
      <c r="K15" s="124"/>
    </row>
    <row r="16" spans="1:18" x14ac:dyDescent="0.25">
      <c r="E16" s="192" t="s">
        <v>20</v>
      </c>
      <c r="F16" s="785">
        <v>0.5</v>
      </c>
      <c r="G16" s="812"/>
      <c r="H16" s="194">
        <v>0.6</v>
      </c>
      <c r="I16" s="125"/>
      <c r="J16" s="195"/>
      <c r="K16" s="196"/>
      <c r="L16" s="125"/>
      <c r="M16" s="128"/>
      <c r="N16" s="128"/>
      <c r="O16" s="128"/>
      <c r="P16" s="128"/>
      <c r="Q16" s="128"/>
      <c r="R16" s="128"/>
    </row>
    <row r="17" spans="2:20" x14ac:dyDescent="0.25">
      <c r="G17" s="118"/>
      <c r="I17" s="125"/>
      <c r="J17" s="125"/>
      <c r="K17" s="196"/>
      <c r="L17" s="125"/>
      <c r="M17" s="125"/>
      <c r="N17" s="145"/>
      <c r="O17" s="145"/>
      <c r="P17" s="145"/>
      <c r="Q17" s="125"/>
      <c r="R17" s="125"/>
    </row>
    <row r="18" spans="2:20" x14ac:dyDescent="0.25">
      <c r="E18" s="705" t="s">
        <v>14</v>
      </c>
      <c r="F18" s="706"/>
      <c r="G18" s="172" t="s">
        <v>276</v>
      </c>
      <c r="K18" s="124"/>
    </row>
    <row r="19" spans="2:20" x14ac:dyDescent="0.25">
      <c r="E19" s="705" t="s">
        <v>22</v>
      </c>
      <c r="F19" s="706"/>
      <c r="G19" s="172" t="s">
        <v>69</v>
      </c>
      <c r="K19" s="124"/>
    </row>
    <row r="20" spans="2:20" x14ac:dyDescent="0.25">
      <c r="B20" s="197"/>
      <c r="C20" s="172"/>
    </row>
    <row r="21" spans="2:20" x14ac:dyDescent="0.25">
      <c r="B21" s="197"/>
      <c r="C21" s="172"/>
    </row>
    <row r="22" spans="2:20" x14ac:dyDescent="0.25">
      <c r="B22" s="197"/>
      <c r="C22" s="191" t="s">
        <v>72</v>
      </c>
      <c r="I22" s="808" t="s">
        <v>29</v>
      </c>
      <c r="J22" s="809"/>
      <c r="K22" s="809"/>
      <c r="L22" s="809"/>
      <c r="M22" s="809"/>
      <c r="N22" s="809"/>
      <c r="O22" s="809"/>
      <c r="P22" s="809"/>
      <c r="Q22" s="809"/>
      <c r="R22" s="809"/>
      <c r="S22" s="809"/>
      <c r="T22" s="810"/>
    </row>
    <row r="23" spans="2:20" x14ac:dyDescent="0.25">
      <c r="B23" s="197"/>
      <c r="C23" s="172"/>
      <c r="F23" s="122" t="s">
        <v>0</v>
      </c>
      <c r="G23" s="122" t="s">
        <v>6</v>
      </c>
      <c r="I23" s="811" t="str">
        <f>E12</f>
        <v>Cattle</v>
      </c>
      <c r="J23" s="811"/>
      <c r="K23" s="811" t="str">
        <f>E13</f>
        <v>Goats</v>
      </c>
      <c r="L23" s="811"/>
      <c r="M23" s="811" t="str">
        <f>E14</f>
        <v>Sheep</v>
      </c>
      <c r="N23" s="811"/>
      <c r="O23" s="811" t="str">
        <f>E15</f>
        <v>Camels</v>
      </c>
      <c r="P23" s="811"/>
      <c r="Q23" s="811" t="str">
        <f>E16</f>
        <v>Donkey</v>
      </c>
      <c r="R23" s="811"/>
      <c r="T23" s="198" t="s">
        <v>23</v>
      </c>
    </row>
    <row r="24" spans="2:20" x14ac:dyDescent="0.25">
      <c r="B24" s="197"/>
      <c r="C24" s="172"/>
      <c r="F24" s="184">
        <f>'1 - General Data'!J18</f>
        <v>2013</v>
      </c>
      <c r="G24" s="199">
        <f>'1 - General Data'!G35</f>
        <v>3688.4330589712499</v>
      </c>
      <c r="I24" s="786">
        <f>G24*F12</f>
        <v>25819.031412798751</v>
      </c>
      <c r="J24" s="701"/>
      <c r="K24" s="786">
        <f>G24*F13</f>
        <v>81145.527297367502</v>
      </c>
      <c r="L24" s="701"/>
      <c r="M24" s="786">
        <f>G24*F14</f>
        <v>62703.362002511247</v>
      </c>
      <c r="N24" s="701"/>
      <c r="O24" s="786">
        <f>G24*F15</f>
        <v>11065.29917691375</v>
      </c>
      <c r="P24" s="701"/>
      <c r="Q24" s="786">
        <f>G24*F16</f>
        <v>1844.216529485625</v>
      </c>
      <c r="R24" s="701"/>
      <c r="T24" s="200">
        <f>(I24*$H$12+K24*$H$13+M24*$H$14+O24*$H$15+Q24*$H$16)/($H$12+$H$13+$H$14+$H$15+$H$16)</f>
        <v>16905.318186951565</v>
      </c>
    </row>
    <row r="25" spans="2:20" x14ac:dyDescent="0.25">
      <c r="B25" s="197"/>
      <c r="C25" s="172"/>
      <c r="F25" s="184">
        <f>'1 - General Data'!J19</f>
        <v>2023</v>
      </c>
      <c r="G25" s="199">
        <f>'1 - General Data'!G37</f>
        <v>4956.9456020658054</v>
      </c>
      <c r="I25" s="786">
        <f>G25*F12</f>
        <v>34698.619214460639</v>
      </c>
      <c r="J25" s="701"/>
      <c r="K25" s="786">
        <f>G25*F13</f>
        <v>109052.80324544772</v>
      </c>
      <c r="L25" s="701"/>
      <c r="M25" s="786">
        <f>G25*F14</f>
        <v>84268.075235118697</v>
      </c>
      <c r="N25" s="701"/>
      <c r="O25" s="786">
        <f>G25*F15</f>
        <v>14870.836806197416</v>
      </c>
      <c r="P25" s="701"/>
      <c r="Q25" s="786">
        <f>G25*F16</f>
        <v>2478.4728010329027</v>
      </c>
      <c r="R25" s="701"/>
      <c r="T25" s="200">
        <f>(I25*$H$12+K25*$H$13+M25*$H$14+O25*$H$15+Q25*$H$16)/($H$12+$H$13+$H$14+$H$15+$H$16)</f>
        <v>22719.334009468275</v>
      </c>
    </row>
    <row r="26" spans="2:20" x14ac:dyDescent="0.25">
      <c r="B26" s="197"/>
      <c r="C26" s="172"/>
      <c r="F26" s="201">
        <f>'1 - General Data'!J20</f>
        <v>2033</v>
      </c>
      <c r="G26" s="202">
        <f>'1 - General Data'!G39</f>
        <v>6661.720386134044</v>
      </c>
      <c r="I26" s="786">
        <f>G26*F12</f>
        <v>46632.042702938306</v>
      </c>
      <c r="J26" s="701"/>
      <c r="K26" s="786">
        <f>G26*F13</f>
        <v>146557.84849494896</v>
      </c>
      <c r="L26" s="701"/>
      <c r="M26" s="786">
        <f>G26*F14</f>
        <v>113249.24656427874</v>
      </c>
      <c r="N26" s="701"/>
      <c r="O26" s="786">
        <f>G26*F15</f>
        <v>19985.16115840213</v>
      </c>
      <c r="P26" s="701"/>
      <c r="Q26" s="786">
        <f>G26*F16</f>
        <v>3330.860193067022</v>
      </c>
      <c r="R26" s="701"/>
      <c r="T26" s="200">
        <f>(I26*$H$12+K26*$H$13+M26*$H$14+O26*$H$15+Q26*$H$16)/($H$12+$H$13+$H$14+$H$15+$H$16)</f>
        <v>30532.885103114368</v>
      </c>
    </row>
    <row r="27" spans="2:20" x14ac:dyDescent="0.25">
      <c r="B27" s="197"/>
      <c r="C27" s="172"/>
    </row>
    <row r="28" spans="2:20" ht="15" customHeight="1" x14ac:dyDescent="0.25">
      <c r="G28" s="196"/>
      <c r="H28" s="125"/>
      <c r="I28" s="727" t="s">
        <v>74</v>
      </c>
      <c r="J28" s="728"/>
      <c r="K28" s="728"/>
      <c r="L28" s="701"/>
      <c r="M28" s="338"/>
      <c r="N28" s="125"/>
      <c r="O28" s="125"/>
      <c r="P28" s="125"/>
      <c r="Q28" s="125"/>
      <c r="R28" s="125"/>
    </row>
    <row r="29" spans="2:20" ht="15" customHeight="1" x14ac:dyDescent="0.25">
      <c r="G29" s="196"/>
      <c r="H29" s="125"/>
      <c r="I29" s="754" t="s">
        <v>76</v>
      </c>
      <c r="J29" s="755"/>
      <c r="K29" s="728"/>
      <c r="L29" s="701"/>
      <c r="M29" s="338"/>
      <c r="N29" s="125"/>
      <c r="O29" s="125"/>
      <c r="P29" s="125"/>
      <c r="Q29" s="125"/>
      <c r="R29" s="125"/>
    </row>
    <row r="30" spans="2:20" ht="15" customHeight="1" x14ac:dyDescent="0.25">
      <c r="F30" s="122" t="s">
        <v>0</v>
      </c>
      <c r="G30" s="122" t="s">
        <v>21</v>
      </c>
      <c r="I30" s="338"/>
      <c r="J30" s="338"/>
      <c r="K30" s="338"/>
      <c r="L30" s="338"/>
      <c r="M30" s="338"/>
      <c r="N30" s="125"/>
      <c r="O30" s="125"/>
      <c r="P30" s="125"/>
      <c r="Q30" s="125"/>
      <c r="R30" s="125"/>
    </row>
    <row r="31" spans="2:20" ht="15" customHeight="1" x14ac:dyDescent="0.25">
      <c r="F31" s="184">
        <f>'1 - General Data'!J18</f>
        <v>2013</v>
      </c>
      <c r="G31" s="185">
        <f>T24</f>
        <v>16905.318186951565</v>
      </c>
      <c r="H31" s="159"/>
      <c r="I31" s="770">
        <f>G31*M11</f>
        <v>845265.90934757818</v>
      </c>
      <c r="J31" s="771"/>
      <c r="K31" s="772" t="s">
        <v>28</v>
      </c>
      <c r="L31" s="773"/>
      <c r="M31" s="338"/>
      <c r="N31" s="125"/>
      <c r="O31" s="125"/>
      <c r="P31" s="125"/>
      <c r="Q31" s="125"/>
      <c r="R31" s="125"/>
    </row>
    <row r="32" spans="2:20" ht="15" customHeight="1" x14ac:dyDescent="0.25">
      <c r="F32" s="162"/>
      <c r="G32" s="163"/>
      <c r="H32" s="165"/>
      <c r="I32" s="774">
        <f>I31*0.001</f>
        <v>845.26590934757826</v>
      </c>
      <c r="J32" s="775"/>
      <c r="K32" s="776" t="s">
        <v>5</v>
      </c>
      <c r="L32" s="777"/>
      <c r="M32" s="338"/>
      <c r="N32" s="125"/>
      <c r="O32" s="125"/>
      <c r="P32" s="125"/>
      <c r="Q32" s="125"/>
      <c r="R32" s="125"/>
    </row>
    <row r="33" spans="1:20" ht="15" customHeight="1" x14ac:dyDescent="0.25">
      <c r="F33" s="184">
        <f>'1 - General Data'!J19</f>
        <v>2023</v>
      </c>
      <c r="G33" s="185">
        <f>T25</f>
        <v>22719.334009468275</v>
      </c>
      <c r="H33" s="159"/>
      <c r="I33" s="770">
        <f>G33*M11</f>
        <v>1135966.7004734138</v>
      </c>
      <c r="J33" s="771"/>
      <c r="K33" s="772" t="s">
        <v>28</v>
      </c>
      <c r="L33" s="773"/>
      <c r="M33" s="338"/>
      <c r="N33" s="125"/>
      <c r="O33" s="125"/>
      <c r="P33" s="125"/>
      <c r="Q33" s="125"/>
      <c r="R33" s="125"/>
    </row>
    <row r="34" spans="1:20" ht="15" customHeight="1" x14ac:dyDescent="0.25">
      <c r="F34" s="162"/>
      <c r="G34" s="168"/>
      <c r="H34" s="165"/>
      <c r="I34" s="774">
        <f>I33*0.001</f>
        <v>1135.9667004734138</v>
      </c>
      <c r="J34" s="778"/>
      <c r="K34" s="776" t="s">
        <v>5</v>
      </c>
      <c r="L34" s="779"/>
      <c r="M34" s="338"/>
      <c r="N34" s="125"/>
      <c r="O34" s="125"/>
      <c r="P34" s="125"/>
      <c r="Q34" s="125"/>
      <c r="R34" s="125"/>
    </row>
    <row r="35" spans="1:20" ht="15" customHeight="1" x14ac:dyDescent="0.25">
      <c r="F35" s="184">
        <f>'1 - General Data'!J20</f>
        <v>2033</v>
      </c>
      <c r="G35" s="185">
        <f>T26</f>
        <v>30532.885103114368</v>
      </c>
      <c r="H35" s="159"/>
      <c r="I35" s="770">
        <f>G35*M11</f>
        <v>1526644.2551557184</v>
      </c>
      <c r="J35" s="780"/>
      <c r="K35" s="772" t="s">
        <v>28</v>
      </c>
      <c r="L35" s="773"/>
      <c r="M35" s="338"/>
      <c r="N35" s="125"/>
      <c r="O35" s="125"/>
      <c r="P35" s="125"/>
      <c r="Q35" s="125"/>
      <c r="R35" s="125"/>
    </row>
    <row r="36" spans="1:20" ht="15" customHeight="1" x14ac:dyDescent="0.25">
      <c r="F36" s="162"/>
      <c r="G36" s="168"/>
      <c r="H36" s="168"/>
      <c r="I36" s="781">
        <f>I35*0.001</f>
        <v>1526.6442551557184</v>
      </c>
      <c r="J36" s="782"/>
      <c r="K36" s="783" t="s">
        <v>5</v>
      </c>
      <c r="L36" s="784"/>
      <c r="M36" s="338"/>
      <c r="N36" s="125"/>
      <c r="O36" s="125"/>
      <c r="P36" s="125"/>
      <c r="Q36" s="125"/>
      <c r="R36" s="125"/>
    </row>
    <row r="38" spans="1:20" s="540" customFormat="1" x14ac:dyDescent="0.25">
      <c r="A38" s="539"/>
      <c r="B38" s="539" t="s">
        <v>176</v>
      </c>
      <c r="F38" s="542">
        <f>'1 - General Data'!N22</f>
        <v>2009</v>
      </c>
      <c r="G38" s="541"/>
    </row>
    <row r="39" spans="1:20" s="203" customFormat="1" x14ac:dyDescent="0.25">
      <c r="A39" s="175"/>
      <c r="B39" s="175"/>
      <c r="C39" s="175"/>
      <c r="G39" s="204"/>
    </row>
    <row r="40" spans="1:20" x14ac:dyDescent="0.25">
      <c r="C40" s="191" t="s">
        <v>75</v>
      </c>
      <c r="E40" s="794" t="s">
        <v>26</v>
      </c>
      <c r="F40" s="742"/>
      <c r="G40" s="699"/>
      <c r="H40" s="813"/>
      <c r="K40" s="191"/>
    </row>
    <row r="41" spans="1:20" ht="15" customHeight="1" x14ac:dyDescent="0.25">
      <c r="E41" s="795" t="s">
        <v>27</v>
      </c>
      <c r="F41" s="744"/>
      <c r="G41" s="745"/>
      <c r="H41" s="753"/>
      <c r="K41" s="124"/>
    </row>
    <row r="42" spans="1:20" x14ac:dyDescent="0.25">
      <c r="E42" s="814">
        <f>M11</f>
        <v>50</v>
      </c>
      <c r="F42" s="815"/>
      <c r="G42" s="816"/>
      <c r="H42" s="753"/>
      <c r="K42" s="124"/>
    </row>
    <row r="43" spans="1:20" x14ac:dyDescent="0.25">
      <c r="E43" s="145"/>
      <c r="F43" s="817"/>
      <c r="G43" s="817"/>
      <c r="H43" s="145"/>
      <c r="K43" s="124"/>
    </row>
    <row r="44" spans="1:20" x14ac:dyDescent="0.25">
      <c r="B44" s="197"/>
      <c r="C44" s="191" t="s">
        <v>72</v>
      </c>
      <c r="I44" s="808" t="s">
        <v>29</v>
      </c>
      <c r="J44" s="809"/>
      <c r="K44" s="809"/>
      <c r="L44" s="809"/>
      <c r="M44" s="809"/>
      <c r="N44" s="809"/>
      <c r="O44" s="809"/>
      <c r="P44" s="809"/>
      <c r="Q44" s="809"/>
      <c r="R44" s="809"/>
      <c r="S44" s="809"/>
      <c r="T44" s="810"/>
    </row>
    <row r="45" spans="1:20" x14ac:dyDescent="0.25">
      <c r="B45" s="197"/>
      <c r="C45" s="172"/>
      <c r="F45" s="155"/>
      <c r="G45" s="122" t="s">
        <v>0</v>
      </c>
      <c r="I45" s="811" t="str">
        <f>I23</f>
        <v>Cattle</v>
      </c>
      <c r="J45" s="811"/>
      <c r="K45" s="811" t="str">
        <f>K23</f>
        <v>Goats</v>
      </c>
      <c r="L45" s="811"/>
      <c r="M45" s="811" t="str">
        <f>M23</f>
        <v>Sheep</v>
      </c>
      <c r="N45" s="811"/>
      <c r="O45" s="811" t="str">
        <f>O23</f>
        <v>Camels</v>
      </c>
      <c r="P45" s="811"/>
      <c r="Q45" s="811" t="str">
        <f>Q23</f>
        <v>Donkey</v>
      </c>
      <c r="R45" s="811"/>
      <c r="T45" s="198" t="s">
        <v>23</v>
      </c>
    </row>
    <row r="46" spans="1:20" x14ac:dyDescent="0.25">
      <c r="B46" s="197"/>
      <c r="C46" s="172"/>
      <c r="F46" s="205"/>
      <c r="G46" s="206">
        <f>'1 - General Data'!N22</f>
        <v>2009</v>
      </c>
      <c r="I46" s="787"/>
      <c r="J46" s="704"/>
      <c r="K46" s="787"/>
      <c r="L46" s="704"/>
      <c r="M46" s="787"/>
      <c r="N46" s="704"/>
      <c r="O46" s="787"/>
      <c r="P46" s="704"/>
      <c r="Q46" s="787"/>
      <c r="R46" s="704"/>
      <c r="T46" s="200">
        <f>(I46*$H$12+K46*$H$13+M46*$H$14+O46*$H$15+Q46*$H$16)/($H$12+$H$13+$H$14+$H$15+$H$16)</f>
        <v>0</v>
      </c>
    </row>
    <row r="47" spans="1:20" x14ac:dyDescent="0.25">
      <c r="B47" s="197"/>
      <c r="C47" s="172"/>
      <c r="F47" s="205"/>
      <c r="G47" s="206">
        <f>'1 - General Data'!J18</f>
        <v>2013</v>
      </c>
      <c r="I47" s="786">
        <f>I46*'1 - General Data'!$K$18</f>
        <v>0</v>
      </c>
      <c r="J47" s="701"/>
      <c r="K47" s="786">
        <f>K46*'1 - General Data'!$K$18</f>
        <v>0</v>
      </c>
      <c r="L47" s="701"/>
      <c r="M47" s="786">
        <f>M46*'1 - General Data'!$K$18</f>
        <v>0</v>
      </c>
      <c r="N47" s="701"/>
      <c r="O47" s="786">
        <f>O46*'1 - General Data'!$K$18</f>
        <v>0</v>
      </c>
      <c r="P47" s="701"/>
      <c r="Q47" s="786">
        <f>Q46*'1 - General Data'!$K$18</f>
        <v>0</v>
      </c>
      <c r="R47" s="701"/>
      <c r="T47" s="200">
        <f>(I47*$H$12+K47*$H$13+M47*$H$14+O47*$H$15+Q47*$H$16)/($H$12+$H$13+$H$14+$H$15+$H$16)</f>
        <v>0</v>
      </c>
    </row>
    <row r="48" spans="1:20" x14ac:dyDescent="0.25">
      <c r="B48" s="197"/>
      <c r="C48" s="172"/>
      <c r="F48" s="205"/>
      <c r="G48" s="206">
        <f>'1 - General Data'!J19</f>
        <v>2023</v>
      </c>
      <c r="I48" s="786">
        <f>I46*'1 - General Data'!$K$19</f>
        <v>0</v>
      </c>
      <c r="J48" s="701"/>
      <c r="K48" s="786">
        <f>K46*'1 - General Data'!$K$19</f>
        <v>0</v>
      </c>
      <c r="L48" s="701"/>
      <c r="M48" s="786">
        <f>M46*'1 - General Data'!$K$19</f>
        <v>0</v>
      </c>
      <c r="N48" s="701"/>
      <c r="O48" s="786">
        <f>O46*'1 - General Data'!$K$19</f>
        <v>0</v>
      </c>
      <c r="P48" s="701"/>
      <c r="Q48" s="786">
        <f>Q46*'1 - General Data'!$K$19</f>
        <v>0</v>
      </c>
      <c r="R48" s="701"/>
      <c r="T48" s="200">
        <f>(I48*$H$12+K48*$H$13+M48*$H$14+O48*$H$15+Q48*$H$16)/($H$12+$H$13+$H$14+$H$15+$H$16)</f>
        <v>0</v>
      </c>
    </row>
    <row r="49" spans="1:20" x14ac:dyDescent="0.25">
      <c r="B49" s="197"/>
      <c r="C49" s="172"/>
      <c r="F49" s="205"/>
      <c r="G49" s="193">
        <f>'1 - General Data'!J20</f>
        <v>2033</v>
      </c>
      <c r="I49" s="786">
        <f>I46*'1 - General Data'!$K$20</f>
        <v>0</v>
      </c>
      <c r="J49" s="701"/>
      <c r="K49" s="786">
        <f>K46*'1 - General Data'!$K$20</f>
        <v>0</v>
      </c>
      <c r="L49" s="701"/>
      <c r="M49" s="786">
        <f>M46*'1 - General Data'!$K$20</f>
        <v>0</v>
      </c>
      <c r="N49" s="701"/>
      <c r="O49" s="786">
        <f>O46*'1 - General Data'!$K$20</f>
        <v>0</v>
      </c>
      <c r="P49" s="701"/>
      <c r="Q49" s="786">
        <f>Q46*'1 - General Data'!$K$20</f>
        <v>0</v>
      </c>
      <c r="R49" s="701"/>
      <c r="T49" s="200">
        <f>(I49*$H$12+K49*$H$13+M49*$H$14+O49*$H$15+Q49*$H$16)/($H$12+$H$13+$H$14+$H$15+$H$16)</f>
        <v>0</v>
      </c>
    </row>
    <row r="50" spans="1:20" x14ac:dyDescent="0.25">
      <c r="B50" s="197"/>
      <c r="C50" s="172"/>
    </row>
    <row r="51" spans="1:20" ht="15" customHeight="1" x14ac:dyDescent="0.25">
      <c r="G51" s="196"/>
      <c r="H51" s="125"/>
      <c r="I51" s="727" t="s">
        <v>74</v>
      </c>
      <c r="J51" s="728"/>
      <c r="K51" s="728"/>
      <c r="L51" s="701"/>
      <c r="M51" s="338"/>
      <c r="N51" s="125"/>
      <c r="O51" s="125"/>
      <c r="P51" s="125"/>
      <c r="Q51" s="125"/>
      <c r="R51" s="125"/>
    </row>
    <row r="52" spans="1:20" ht="15" customHeight="1" x14ac:dyDescent="0.25">
      <c r="G52" s="196"/>
      <c r="H52" s="125"/>
      <c r="I52" s="754" t="s">
        <v>77</v>
      </c>
      <c r="J52" s="755"/>
      <c r="K52" s="728"/>
      <c r="L52" s="701"/>
      <c r="M52" s="338"/>
      <c r="N52" s="125"/>
      <c r="O52" s="125"/>
      <c r="P52" s="125"/>
      <c r="Q52" s="125"/>
      <c r="R52" s="125"/>
    </row>
    <row r="53" spans="1:20" ht="15" customHeight="1" x14ac:dyDescent="0.25">
      <c r="F53" s="122" t="s">
        <v>0</v>
      </c>
      <c r="G53" s="122" t="s">
        <v>21</v>
      </c>
      <c r="I53" s="338"/>
      <c r="J53" s="338"/>
      <c r="K53" s="338"/>
      <c r="L53" s="338"/>
      <c r="M53" s="338"/>
      <c r="N53" s="125"/>
      <c r="O53" s="125"/>
      <c r="P53" s="125"/>
      <c r="Q53" s="125"/>
      <c r="R53" s="125"/>
    </row>
    <row r="54" spans="1:20" ht="15" customHeight="1" x14ac:dyDescent="0.25">
      <c r="F54" s="184">
        <f>'1 - General Data'!J18</f>
        <v>2013</v>
      </c>
      <c r="G54" s="185">
        <f>T47</f>
        <v>0</v>
      </c>
      <c r="H54" s="159"/>
      <c r="I54" s="770">
        <f>G54*E42</f>
        <v>0</v>
      </c>
      <c r="J54" s="771"/>
      <c r="K54" s="772" t="s">
        <v>28</v>
      </c>
      <c r="L54" s="773"/>
      <c r="M54" s="338"/>
      <c r="N54" s="125"/>
      <c r="O54" s="125"/>
      <c r="P54" s="125"/>
      <c r="Q54" s="125"/>
      <c r="R54" s="125"/>
    </row>
    <row r="55" spans="1:20" ht="15" customHeight="1" x14ac:dyDescent="0.25">
      <c r="F55" s="162"/>
      <c r="G55" s="163"/>
      <c r="H55" s="165"/>
      <c r="I55" s="774">
        <f>I54*0.001</f>
        <v>0</v>
      </c>
      <c r="J55" s="775"/>
      <c r="K55" s="776" t="s">
        <v>5</v>
      </c>
      <c r="L55" s="777"/>
      <c r="M55" s="338"/>
      <c r="N55" s="125"/>
      <c r="O55" s="125"/>
      <c r="P55" s="125"/>
      <c r="Q55" s="125"/>
      <c r="R55" s="125"/>
    </row>
    <row r="56" spans="1:20" ht="15" customHeight="1" x14ac:dyDescent="0.25">
      <c r="F56" s="184">
        <f>'1 - General Data'!J19</f>
        <v>2023</v>
      </c>
      <c r="G56" s="185">
        <f>T48</f>
        <v>0</v>
      </c>
      <c r="H56" s="159"/>
      <c r="I56" s="770">
        <f>G56*E42</f>
        <v>0</v>
      </c>
      <c r="J56" s="771"/>
      <c r="K56" s="772" t="s">
        <v>28</v>
      </c>
      <c r="L56" s="773"/>
      <c r="M56" s="338"/>
      <c r="N56" s="125"/>
      <c r="O56" s="125"/>
      <c r="P56" s="125"/>
      <c r="Q56" s="125"/>
      <c r="R56" s="125"/>
    </row>
    <row r="57" spans="1:20" ht="15" customHeight="1" x14ac:dyDescent="0.25">
      <c r="F57" s="162"/>
      <c r="G57" s="168"/>
      <c r="H57" s="165"/>
      <c r="I57" s="774">
        <f>I56*0.001</f>
        <v>0</v>
      </c>
      <c r="J57" s="778"/>
      <c r="K57" s="776" t="s">
        <v>5</v>
      </c>
      <c r="L57" s="779"/>
      <c r="M57" s="338"/>
      <c r="N57" s="125"/>
      <c r="O57" s="125"/>
      <c r="P57" s="125"/>
      <c r="Q57" s="125"/>
      <c r="R57" s="125"/>
    </row>
    <row r="58" spans="1:20" ht="15" customHeight="1" x14ac:dyDescent="0.25">
      <c r="F58" s="184">
        <f>'1 - General Data'!J20</f>
        <v>2033</v>
      </c>
      <c r="G58" s="185">
        <f>T49</f>
        <v>0</v>
      </c>
      <c r="H58" s="159"/>
      <c r="I58" s="770">
        <f>G58*E42</f>
        <v>0</v>
      </c>
      <c r="J58" s="780"/>
      <c r="K58" s="772" t="s">
        <v>28</v>
      </c>
      <c r="L58" s="773"/>
      <c r="M58" s="338"/>
      <c r="N58" s="125"/>
      <c r="O58" s="125"/>
      <c r="P58" s="125"/>
      <c r="Q58" s="125"/>
      <c r="R58" s="125"/>
    </row>
    <row r="59" spans="1:20" ht="15" customHeight="1" x14ac:dyDescent="0.25">
      <c r="F59" s="162"/>
      <c r="G59" s="168"/>
      <c r="H59" s="168"/>
      <c r="I59" s="781">
        <f>I58*0.001</f>
        <v>0</v>
      </c>
      <c r="J59" s="782"/>
      <c r="K59" s="783" t="s">
        <v>5</v>
      </c>
      <c r="L59" s="784"/>
      <c r="M59" s="338"/>
      <c r="N59" s="125"/>
      <c r="O59" s="125"/>
      <c r="P59" s="125"/>
      <c r="Q59" s="125"/>
      <c r="R59" s="125"/>
    </row>
    <row r="61" spans="1:20" s="540" customFormat="1" x14ac:dyDescent="0.25">
      <c r="A61" s="539"/>
      <c r="B61" s="539" t="s">
        <v>177</v>
      </c>
      <c r="F61" s="540">
        <f>'1 - General Data'!G12</f>
        <v>2013</v>
      </c>
      <c r="G61" s="541"/>
    </row>
    <row r="62" spans="1:20" s="203" customFormat="1" x14ac:dyDescent="0.25">
      <c r="A62" s="175"/>
      <c r="B62" s="175"/>
      <c r="C62" s="175"/>
      <c r="G62" s="204"/>
    </row>
    <row r="63" spans="1:20" s="203" customFormat="1" x14ac:dyDescent="0.25">
      <c r="A63" s="175"/>
      <c r="B63" s="175"/>
      <c r="C63" s="191" t="s">
        <v>80</v>
      </c>
      <c r="G63" s="819"/>
      <c r="H63" s="820"/>
      <c r="I63" s="811" t="str">
        <f>I23</f>
        <v>Cattle</v>
      </c>
      <c r="J63" s="811"/>
      <c r="K63" s="811" t="str">
        <f>K23</f>
        <v>Goats</v>
      </c>
      <c r="L63" s="811"/>
      <c r="M63" s="811" t="str">
        <f>M23</f>
        <v>Sheep</v>
      </c>
      <c r="N63" s="811"/>
      <c r="O63" s="811" t="str">
        <f>O23</f>
        <v>Camels</v>
      </c>
      <c r="P63" s="811"/>
      <c r="Q63" s="811" t="str">
        <f>Q23</f>
        <v>Donkey</v>
      </c>
      <c r="R63" s="811"/>
      <c r="T63" s="207" t="s">
        <v>25</v>
      </c>
    </row>
    <row r="64" spans="1:20" s="203" customFormat="1" x14ac:dyDescent="0.25">
      <c r="A64" s="175"/>
      <c r="B64" s="175"/>
      <c r="C64" s="175"/>
      <c r="G64" s="818" t="str">
        <f>'1 - General Data'!C18</f>
        <v>Kalemngorok</v>
      </c>
      <c r="H64" s="798"/>
      <c r="I64" s="787"/>
      <c r="J64" s="704"/>
      <c r="K64" s="787"/>
      <c r="L64" s="704"/>
      <c r="M64" s="787"/>
      <c r="N64" s="704"/>
      <c r="O64" s="787"/>
      <c r="P64" s="704"/>
      <c r="Q64" s="787"/>
      <c r="R64" s="704"/>
      <c r="T64" s="141"/>
    </row>
    <row r="65" spans="1:21" s="203" customFormat="1" ht="15" customHeight="1" x14ac:dyDescent="0.25">
      <c r="A65" s="175"/>
      <c r="B65" s="175"/>
      <c r="C65" s="175"/>
      <c r="G65" s="818" t="str">
        <f>'1 - General Data'!C19</f>
        <v>Katilu</v>
      </c>
      <c r="H65" s="798"/>
      <c r="I65" s="787"/>
      <c r="J65" s="704"/>
      <c r="K65" s="787"/>
      <c r="L65" s="704"/>
      <c r="M65" s="787"/>
      <c r="N65" s="704"/>
      <c r="O65" s="787"/>
      <c r="P65" s="704"/>
      <c r="Q65" s="787"/>
      <c r="R65" s="704"/>
      <c r="T65" s="141"/>
    </row>
    <row r="66" spans="1:21" s="203" customFormat="1" x14ac:dyDescent="0.25">
      <c r="A66" s="175"/>
      <c r="B66" s="175"/>
      <c r="C66" s="175"/>
      <c r="G66" s="818">
        <f>'1 - General Data'!C20</f>
        <v>0</v>
      </c>
      <c r="H66" s="798"/>
      <c r="I66" s="787"/>
      <c r="J66" s="704"/>
      <c r="K66" s="787"/>
      <c r="L66" s="704"/>
      <c r="M66" s="787"/>
      <c r="N66" s="704"/>
      <c r="O66" s="787"/>
      <c r="P66" s="704"/>
      <c r="Q66" s="787"/>
      <c r="R66" s="704"/>
      <c r="T66" s="141"/>
    </row>
    <row r="67" spans="1:21" s="203" customFormat="1" x14ac:dyDescent="0.25">
      <c r="A67" s="175"/>
      <c r="B67" s="175"/>
      <c r="C67" s="175"/>
      <c r="G67" s="818">
        <f>'1 - General Data'!C21</f>
        <v>0</v>
      </c>
      <c r="H67" s="798"/>
      <c r="I67" s="339"/>
      <c r="J67" s="340"/>
      <c r="K67" s="339"/>
      <c r="L67" s="340"/>
      <c r="M67" s="339"/>
      <c r="N67" s="340"/>
      <c r="O67" s="339"/>
      <c r="P67" s="340"/>
      <c r="Q67" s="339"/>
      <c r="R67" s="340"/>
      <c r="T67" s="141"/>
    </row>
    <row r="68" spans="1:21" s="203" customFormat="1" x14ac:dyDescent="0.25">
      <c r="A68" s="175"/>
      <c r="B68" s="175"/>
      <c r="C68" s="175"/>
      <c r="G68" s="818">
        <f>'1 - General Data'!C22</f>
        <v>0</v>
      </c>
      <c r="H68" s="798"/>
      <c r="I68" s="339"/>
      <c r="J68" s="340"/>
      <c r="K68" s="339"/>
      <c r="L68" s="340"/>
      <c r="M68" s="339"/>
      <c r="N68" s="340"/>
      <c r="O68" s="339"/>
      <c r="P68" s="340"/>
      <c r="Q68" s="339"/>
      <c r="R68" s="340"/>
      <c r="T68" s="141"/>
    </row>
    <row r="69" spans="1:21" s="203" customFormat="1" x14ac:dyDescent="0.25">
      <c r="A69" s="175"/>
      <c r="B69" s="175"/>
      <c r="C69" s="175"/>
      <c r="G69" s="208"/>
      <c r="H69" s="209" t="s">
        <v>79</v>
      </c>
      <c r="I69" s="821">
        <f>SUM(I64:J68)</f>
        <v>0</v>
      </c>
      <c r="J69" s="822"/>
      <c r="K69" s="821">
        <f>SUM(K64:L68)</f>
        <v>0</v>
      </c>
      <c r="L69" s="822"/>
      <c r="M69" s="821">
        <f>SUM(M64:N68)</f>
        <v>0</v>
      </c>
      <c r="N69" s="822"/>
      <c r="O69" s="821">
        <f>SUM(O64:P68)</f>
        <v>0</v>
      </c>
      <c r="P69" s="822"/>
      <c r="Q69" s="821">
        <f>SUM(Q64:R68)</f>
        <v>0</v>
      </c>
      <c r="R69" s="822"/>
      <c r="T69" s="212">
        <f>SUM(T64:T68)</f>
        <v>0</v>
      </c>
    </row>
    <row r="70" spans="1:21" s="203" customFormat="1" x14ac:dyDescent="0.25">
      <c r="A70" s="175"/>
      <c r="B70" s="175"/>
      <c r="C70" s="175"/>
      <c r="G70" s="204"/>
    </row>
    <row r="71" spans="1:21" ht="15" customHeight="1" x14ac:dyDescent="0.25">
      <c r="C71" s="191" t="s">
        <v>70</v>
      </c>
      <c r="D71" s="823" t="s">
        <v>82</v>
      </c>
      <c r="E71" s="824"/>
      <c r="F71" s="824"/>
      <c r="I71" s="788" t="s">
        <v>15</v>
      </c>
      <c r="J71" s="825"/>
    </row>
    <row r="72" spans="1:21" ht="15" customHeight="1" x14ac:dyDescent="0.25">
      <c r="D72" s="824"/>
      <c r="E72" s="824"/>
      <c r="F72" s="824"/>
      <c r="I72" s="826"/>
      <c r="J72" s="827"/>
      <c r="L72" s="785" t="str">
        <f>G64</f>
        <v>Kalemngorok</v>
      </c>
      <c r="M72" s="785"/>
      <c r="N72" s="785" t="str">
        <f>G65</f>
        <v>Katilu</v>
      </c>
      <c r="O72" s="785"/>
      <c r="P72" s="785">
        <f>G66</f>
        <v>0</v>
      </c>
      <c r="Q72" s="785"/>
      <c r="R72" s="785">
        <f>G67</f>
        <v>0</v>
      </c>
      <c r="S72" s="785"/>
      <c r="T72" s="785">
        <f>G68</f>
        <v>0</v>
      </c>
      <c r="U72" s="785"/>
    </row>
    <row r="73" spans="1:21" x14ac:dyDescent="0.25">
      <c r="D73" s="824"/>
      <c r="E73" s="824"/>
      <c r="F73" s="824"/>
      <c r="I73" s="796" t="s">
        <v>35</v>
      </c>
      <c r="J73" s="828"/>
    </row>
    <row r="74" spans="1:21" x14ac:dyDescent="0.25">
      <c r="D74" s="824"/>
      <c r="E74" s="824"/>
      <c r="F74" s="824"/>
      <c r="H74" s="192" t="s">
        <v>16</v>
      </c>
      <c r="I74" s="829">
        <f>F12</f>
        <v>7</v>
      </c>
      <c r="J74" s="830"/>
      <c r="L74" s="786">
        <f>I74*$L$79/$I$79</f>
        <v>0</v>
      </c>
      <c r="M74" s="701"/>
      <c r="N74" s="786">
        <f>I74*$N$79/$I$79</f>
        <v>0</v>
      </c>
      <c r="O74" s="701"/>
      <c r="P74" s="786">
        <f>I74*$N$79/$I$79</f>
        <v>0</v>
      </c>
      <c r="Q74" s="701"/>
      <c r="R74" s="786">
        <f>I74*$R$79/$I$79</f>
        <v>0</v>
      </c>
      <c r="S74" s="701"/>
      <c r="T74" s="786">
        <f>I74*$T$79/$I$79</f>
        <v>0</v>
      </c>
      <c r="U74" s="701"/>
    </row>
    <row r="75" spans="1:21" x14ac:dyDescent="0.25">
      <c r="D75" s="824"/>
      <c r="E75" s="824"/>
      <c r="F75" s="824"/>
      <c r="H75" s="192" t="s">
        <v>17</v>
      </c>
      <c r="I75" s="829">
        <f>F13</f>
        <v>22</v>
      </c>
      <c r="J75" s="830"/>
      <c r="L75" s="786">
        <f>I75*$L$79/$I$79</f>
        <v>0</v>
      </c>
      <c r="M75" s="701"/>
      <c r="N75" s="786">
        <f>I75*$N$79/$I$79</f>
        <v>0</v>
      </c>
      <c r="O75" s="701"/>
      <c r="P75" s="786">
        <f>I75*$N$79/$I$79</f>
        <v>0</v>
      </c>
      <c r="Q75" s="701"/>
      <c r="R75" s="786">
        <f>I75*$R$79/$I$79</f>
        <v>0</v>
      </c>
      <c r="S75" s="701"/>
      <c r="T75" s="786">
        <f>I75*$T$79/$I$79</f>
        <v>0</v>
      </c>
      <c r="U75" s="701"/>
    </row>
    <row r="76" spans="1:21" x14ac:dyDescent="0.25">
      <c r="D76" s="824"/>
      <c r="E76" s="824"/>
      <c r="F76" s="824"/>
      <c r="H76" s="192" t="s">
        <v>18</v>
      </c>
      <c r="I76" s="829">
        <f>F14</f>
        <v>17</v>
      </c>
      <c r="J76" s="830"/>
      <c r="L76" s="786">
        <f>I76*$L$79/$I$79</f>
        <v>0</v>
      </c>
      <c r="M76" s="701"/>
      <c r="N76" s="786">
        <f>I76*$N$79/$I$79</f>
        <v>0</v>
      </c>
      <c r="O76" s="701"/>
      <c r="P76" s="786">
        <f>I76*$N$79/$I$79</f>
        <v>0</v>
      </c>
      <c r="Q76" s="701"/>
      <c r="R76" s="786">
        <f>I76*$R$79/$I$79</f>
        <v>0</v>
      </c>
      <c r="S76" s="701"/>
      <c r="T76" s="786">
        <f>I76*$T$79/$I$79</f>
        <v>0</v>
      </c>
      <c r="U76" s="701"/>
    </row>
    <row r="77" spans="1:21" x14ac:dyDescent="0.25">
      <c r="H77" s="192" t="s">
        <v>19</v>
      </c>
      <c r="I77" s="829">
        <f>F15</f>
        <v>3</v>
      </c>
      <c r="J77" s="830"/>
      <c r="L77" s="786">
        <f>I77*$L$79/$I$79</f>
        <v>0</v>
      </c>
      <c r="M77" s="701"/>
      <c r="N77" s="786">
        <f>I77*$N$79/$I$79</f>
        <v>0</v>
      </c>
      <c r="O77" s="701"/>
      <c r="P77" s="786">
        <f>I77*$N$79/$I$79</f>
        <v>0</v>
      </c>
      <c r="Q77" s="701"/>
      <c r="R77" s="786">
        <f>I77*$R$79/$I$79</f>
        <v>0</v>
      </c>
      <c r="S77" s="701"/>
      <c r="T77" s="786">
        <f>I77*$T$79/$I$79</f>
        <v>0</v>
      </c>
      <c r="U77" s="701"/>
    </row>
    <row r="78" spans="1:21" x14ac:dyDescent="0.25">
      <c r="H78" s="192" t="s">
        <v>20</v>
      </c>
      <c r="I78" s="829">
        <f>F16</f>
        <v>0.5</v>
      </c>
      <c r="J78" s="830"/>
      <c r="L78" s="786">
        <f>I78*$L$79/$I$79</f>
        <v>0</v>
      </c>
      <c r="M78" s="701"/>
      <c r="N78" s="786">
        <f>I78*$N$79/$I$79</f>
        <v>0</v>
      </c>
      <c r="O78" s="701"/>
      <c r="P78" s="786">
        <f>I78*$N$79/$I$79</f>
        <v>0</v>
      </c>
      <c r="Q78" s="701"/>
      <c r="R78" s="786">
        <f>I78*$R$79/$I$79</f>
        <v>0</v>
      </c>
      <c r="S78" s="701"/>
      <c r="T78" s="786">
        <f>I78*$T$79/$I$79</f>
        <v>0</v>
      </c>
      <c r="U78" s="701"/>
    </row>
    <row r="79" spans="1:21" x14ac:dyDescent="0.25">
      <c r="H79" s="210" t="s">
        <v>79</v>
      </c>
      <c r="I79" s="831">
        <f>SUM(I74:J78)</f>
        <v>49.5</v>
      </c>
      <c r="J79" s="830"/>
      <c r="L79" s="787">
        <f>T64</f>
        <v>0</v>
      </c>
      <c r="M79" s="701"/>
      <c r="N79" s="787">
        <f>T65</f>
        <v>0</v>
      </c>
      <c r="O79" s="701"/>
      <c r="P79" s="787">
        <f>T66</f>
        <v>0</v>
      </c>
      <c r="Q79" s="701"/>
      <c r="R79" s="787">
        <f>T67</f>
        <v>0</v>
      </c>
      <c r="S79" s="701"/>
      <c r="T79" s="787">
        <f>T68</f>
        <v>0</v>
      </c>
      <c r="U79" s="701"/>
    </row>
    <row r="80" spans="1:21" x14ac:dyDescent="0.25">
      <c r="O80" s="125"/>
      <c r="P80" s="125"/>
      <c r="Q80" s="196"/>
      <c r="R80" s="125"/>
      <c r="S80" s="125"/>
      <c r="T80" s="145"/>
    </row>
    <row r="81" spans="2:20" x14ac:dyDescent="0.25">
      <c r="C81" s="191" t="s">
        <v>71</v>
      </c>
      <c r="E81" s="794" t="s">
        <v>26</v>
      </c>
      <c r="F81" s="742"/>
      <c r="G81" s="699"/>
      <c r="K81" s="124"/>
    </row>
    <row r="82" spans="2:20" x14ac:dyDescent="0.25">
      <c r="C82" s="124"/>
      <c r="E82" s="795" t="s">
        <v>27</v>
      </c>
      <c r="F82" s="744"/>
      <c r="G82" s="745"/>
      <c r="K82" s="124"/>
    </row>
    <row r="83" spans="2:20" x14ac:dyDescent="0.25">
      <c r="C83" s="124"/>
      <c r="E83" s="814">
        <f>M11</f>
        <v>50</v>
      </c>
      <c r="F83" s="815"/>
      <c r="G83" s="816"/>
      <c r="K83" s="124"/>
    </row>
    <row r="84" spans="2:20" x14ac:dyDescent="0.25">
      <c r="B84" s="197"/>
      <c r="C84" s="172"/>
    </row>
    <row r="85" spans="2:20" x14ac:dyDescent="0.25">
      <c r="B85" s="197"/>
      <c r="C85" s="172"/>
    </row>
    <row r="86" spans="2:20" x14ac:dyDescent="0.25">
      <c r="B86" s="197"/>
      <c r="C86" s="191" t="s">
        <v>72</v>
      </c>
      <c r="I86" s="808" t="s">
        <v>29</v>
      </c>
      <c r="J86" s="809"/>
      <c r="K86" s="809"/>
      <c r="L86" s="809"/>
      <c r="M86" s="809"/>
      <c r="N86" s="809"/>
      <c r="O86" s="809"/>
      <c r="P86" s="809"/>
      <c r="Q86" s="809"/>
      <c r="R86" s="809"/>
      <c r="S86" s="809"/>
      <c r="T86" s="810"/>
    </row>
    <row r="87" spans="2:20" x14ac:dyDescent="0.25">
      <c r="B87" s="197"/>
      <c r="C87" s="172"/>
      <c r="F87" s="211"/>
      <c r="G87" s="122" t="s">
        <v>0</v>
      </c>
      <c r="I87" s="811" t="str">
        <f>H74</f>
        <v>Cattle</v>
      </c>
      <c r="J87" s="811"/>
      <c r="K87" s="811" t="str">
        <f>H75</f>
        <v>Goats</v>
      </c>
      <c r="L87" s="811"/>
      <c r="M87" s="811" t="str">
        <f>H76</f>
        <v>Sheep</v>
      </c>
      <c r="N87" s="811"/>
      <c r="O87" s="811" t="str">
        <f>H77</f>
        <v>Camels</v>
      </c>
      <c r="P87" s="811"/>
      <c r="Q87" s="811" t="str">
        <f>H78</f>
        <v>Donkey</v>
      </c>
      <c r="R87" s="811"/>
      <c r="T87" s="198" t="s">
        <v>23</v>
      </c>
    </row>
    <row r="88" spans="2:20" x14ac:dyDescent="0.25">
      <c r="B88" s="197"/>
      <c r="C88" s="172"/>
      <c r="F88" s="205"/>
      <c r="G88" s="206">
        <f>'1 - General Data'!J18</f>
        <v>2013</v>
      </c>
      <c r="I88" s="786">
        <f>I69</f>
        <v>0</v>
      </c>
      <c r="J88" s="701"/>
      <c r="K88" s="786">
        <f>K69</f>
        <v>0</v>
      </c>
      <c r="L88" s="701"/>
      <c r="M88" s="786">
        <f>M69</f>
        <v>0</v>
      </c>
      <c r="N88" s="701"/>
      <c r="O88" s="786">
        <f>O69</f>
        <v>0</v>
      </c>
      <c r="P88" s="701"/>
      <c r="Q88" s="786">
        <f>Q69</f>
        <v>0</v>
      </c>
      <c r="R88" s="701"/>
      <c r="T88" s="200">
        <f>(I88*$H$12+K88*$H$13+M88*$H$14+O88*$H$15+Q88*$H$16)/($H$12+$H$13+$H$14+$H$15+$H$16)</f>
        <v>0</v>
      </c>
    </row>
    <row r="89" spans="2:20" x14ac:dyDescent="0.25">
      <c r="B89" s="197"/>
      <c r="C89" s="172"/>
      <c r="F89" s="205"/>
      <c r="G89" s="206">
        <f>'1 - General Data'!J19</f>
        <v>2023</v>
      </c>
      <c r="I89" s="786">
        <f>I88*'1 - General Data'!$O$19</f>
        <v>0</v>
      </c>
      <c r="J89" s="701"/>
      <c r="K89" s="786">
        <f>K88*'1 - General Data'!$O$19</f>
        <v>0</v>
      </c>
      <c r="L89" s="701"/>
      <c r="M89" s="786">
        <f>M88*'1 - General Data'!$O$19</f>
        <v>0</v>
      </c>
      <c r="N89" s="701"/>
      <c r="O89" s="786">
        <f>O88*'1 - General Data'!$O$19</f>
        <v>0</v>
      </c>
      <c r="P89" s="701"/>
      <c r="Q89" s="786">
        <f>Q88*'1 - General Data'!$O$19</f>
        <v>0</v>
      </c>
      <c r="R89" s="701"/>
      <c r="T89" s="200">
        <f>(I89*$H$12+K89*$H$13+M89*$H$14+O89*$H$15+Q89*$H$16)/($H$12+$H$13+$H$14+$H$15+$H$16)</f>
        <v>0</v>
      </c>
    </row>
    <row r="90" spans="2:20" x14ac:dyDescent="0.25">
      <c r="B90" s="197"/>
      <c r="C90" s="172"/>
      <c r="F90" s="205"/>
      <c r="G90" s="193">
        <f>'1 - General Data'!J20</f>
        <v>2033</v>
      </c>
      <c r="I90" s="786">
        <f>I88*'1 - General Data'!$O$20</f>
        <v>0</v>
      </c>
      <c r="J90" s="701"/>
      <c r="K90" s="786">
        <f>K88*'1 - General Data'!$O$20</f>
        <v>0</v>
      </c>
      <c r="L90" s="701"/>
      <c r="M90" s="786">
        <f>M88*'1 - General Data'!$O$20</f>
        <v>0</v>
      </c>
      <c r="N90" s="701"/>
      <c r="O90" s="786">
        <f>O88*'1 - General Data'!$O$20</f>
        <v>0</v>
      </c>
      <c r="P90" s="701"/>
      <c r="Q90" s="786">
        <f>Q88*'1 - General Data'!$O$20</f>
        <v>0</v>
      </c>
      <c r="R90" s="701"/>
      <c r="T90" s="200">
        <f>(I90*$H$12+K90*$H$13+M90*$H$14+O90*$H$15+Q90*$H$16)/($H$12+$H$13+$H$14+$H$15+$H$16)</f>
        <v>0</v>
      </c>
    </row>
    <row r="91" spans="2:20" x14ac:dyDescent="0.25">
      <c r="B91" s="197"/>
      <c r="C91" s="172"/>
    </row>
    <row r="92" spans="2:20" ht="15" customHeight="1" x14ac:dyDescent="0.25">
      <c r="G92" s="196"/>
      <c r="H92" s="125"/>
      <c r="I92" s="727" t="s">
        <v>74</v>
      </c>
      <c r="J92" s="728"/>
      <c r="K92" s="728"/>
      <c r="L92" s="701"/>
      <c r="M92" s="338"/>
      <c r="N92" s="125"/>
      <c r="O92" s="125"/>
      <c r="P92" s="125"/>
      <c r="Q92" s="125"/>
      <c r="R92" s="125"/>
    </row>
    <row r="93" spans="2:20" ht="15" customHeight="1" x14ac:dyDescent="0.25">
      <c r="G93" s="196"/>
      <c r="H93" s="125"/>
      <c r="I93" s="754" t="s">
        <v>78</v>
      </c>
      <c r="J93" s="755"/>
      <c r="K93" s="728"/>
      <c r="L93" s="701"/>
      <c r="M93" s="338"/>
      <c r="N93" s="125"/>
      <c r="O93" s="125"/>
      <c r="P93" s="125"/>
      <c r="Q93" s="125"/>
      <c r="R93" s="125"/>
    </row>
    <row r="94" spans="2:20" ht="15" customHeight="1" x14ac:dyDescent="0.25">
      <c r="F94" s="122" t="s">
        <v>0</v>
      </c>
      <c r="G94" s="122" t="s">
        <v>21</v>
      </c>
      <c r="I94" s="338"/>
      <c r="J94" s="338"/>
      <c r="K94" s="338"/>
      <c r="L94" s="338"/>
      <c r="M94" s="338"/>
      <c r="N94" s="125"/>
      <c r="O94" s="125"/>
      <c r="P94" s="125"/>
      <c r="Q94" s="125"/>
      <c r="R94" s="125"/>
    </row>
    <row r="95" spans="2:20" ht="15" customHeight="1" x14ac:dyDescent="0.25">
      <c r="F95" s="184">
        <f>'1 - General Data'!J18</f>
        <v>2013</v>
      </c>
      <c r="G95" s="185">
        <f>T88</f>
        <v>0</v>
      </c>
      <c r="H95" s="159"/>
      <c r="I95" s="770">
        <f>G95*E83</f>
        <v>0</v>
      </c>
      <c r="J95" s="771"/>
      <c r="K95" s="772" t="s">
        <v>28</v>
      </c>
      <c r="L95" s="773"/>
      <c r="M95" s="338"/>
      <c r="N95" s="125"/>
      <c r="O95" s="125"/>
      <c r="P95" s="125"/>
      <c r="Q95" s="125"/>
      <c r="R95" s="125"/>
    </row>
    <row r="96" spans="2:20" ht="15" customHeight="1" x14ac:dyDescent="0.25">
      <c r="F96" s="162"/>
      <c r="G96" s="163"/>
      <c r="H96" s="165"/>
      <c r="I96" s="774">
        <f>I95*0.001</f>
        <v>0</v>
      </c>
      <c r="J96" s="775"/>
      <c r="K96" s="776" t="s">
        <v>5</v>
      </c>
      <c r="L96" s="777"/>
      <c r="M96" s="338"/>
      <c r="N96" s="125"/>
      <c r="O96" s="125"/>
      <c r="P96" s="125"/>
      <c r="Q96" s="125"/>
      <c r="R96" s="125"/>
    </row>
    <row r="97" spans="6:18" ht="15" customHeight="1" x14ac:dyDescent="0.25">
      <c r="F97" s="184">
        <f>'1 - General Data'!J19</f>
        <v>2023</v>
      </c>
      <c r="G97" s="185">
        <f>T89</f>
        <v>0</v>
      </c>
      <c r="H97" s="159"/>
      <c r="I97" s="770">
        <f>G97*E83</f>
        <v>0</v>
      </c>
      <c r="J97" s="771"/>
      <c r="K97" s="772" t="s">
        <v>28</v>
      </c>
      <c r="L97" s="773"/>
      <c r="M97" s="338"/>
      <c r="N97" s="125"/>
      <c r="O97" s="125"/>
      <c r="P97" s="125"/>
      <c r="Q97" s="125"/>
      <c r="R97" s="125"/>
    </row>
    <row r="98" spans="6:18" ht="15" customHeight="1" x14ac:dyDescent="0.25">
      <c r="F98" s="162"/>
      <c r="G98" s="168"/>
      <c r="H98" s="165"/>
      <c r="I98" s="774">
        <f>I97*0.001</f>
        <v>0</v>
      </c>
      <c r="J98" s="778"/>
      <c r="K98" s="776" t="s">
        <v>5</v>
      </c>
      <c r="L98" s="779"/>
      <c r="M98" s="338"/>
      <c r="N98" s="125"/>
      <c r="O98" s="125"/>
      <c r="P98" s="125"/>
      <c r="Q98" s="125"/>
      <c r="R98" s="125"/>
    </row>
    <row r="99" spans="6:18" ht="15" customHeight="1" x14ac:dyDescent="0.25">
      <c r="F99" s="184">
        <f>'1 - General Data'!J20</f>
        <v>2033</v>
      </c>
      <c r="G99" s="185">
        <f>T90</f>
        <v>0</v>
      </c>
      <c r="H99" s="159"/>
      <c r="I99" s="770">
        <f>G99*E83</f>
        <v>0</v>
      </c>
      <c r="J99" s="780"/>
      <c r="K99" s="772" t="s">
        <v>28</v>
      </c>
      <c r="L99" s="773"/>
      <c r="M99" s="338"/>
      <c r="N99" s="125"/>
      <c r="O99" s="125"/>
      <c r="P99" s="125"/>
      <c r="Q99" s="125"/>
      <c r="R99" s="125"/>
    </row>
    <row r="100" spans="6:18" ht="15" customHeight="1" x14ac:dyDescent="0.25">
      <c r="F100" s="162"/>
      <c r="G100" s="168"/>
      <c r="H100" s="168"/>
      <c r="I100" s="781">
        <f>I99*0.001</f>
        <v>0</v>
      </c>
      <c r="J100" s="782"/>
      <c r="K100" s="783" t="s">
        <v>5</v>
      </c>
      <c r="L100" s="784"/>
      <c r="M100" s="338"/>
      <c r="N100" s="125"/>
      <c r="O100" s="125"/>
      <c r="P100" s="125"/>
      <c r="Q100" s="125"/>
      <c r="R100" s="125"/>
    </row>
  </sheetData>
  <sheetProtection selectLockedCells="1"/>
  <mergeCells count="207">
    <mergeCell ref="I98:J98"/>
    <mergeCell ref="K98:L98"/>
    <mergeCell ref="I99:J99"/>
    <mergeCell ref="K99:L99"/>
    <mergeCell ref="I100:J100"/>
    <mergeCell ref="K100:L100"/>
    <mergeCell ref="I93:L93"/>
    <mergeCell ref="I95:J95"/>
    <mergeCell ref="K95:L95"/>
    <mergeCell ref="I96:J96"/>
    <mergeCell ref="K96:L96"/>
    <mergeCell ref="I97:J97"/>
    <mergeCell ref="K97:L97"/>
    <mergeCell ref="R77:S77"/>
    <mergeCell ref="R78:S78"/>
    <mergeCell ref="R79:S79"/>
    <mergeCell ref="I90:J90"/>
    <mergeCell ref="K90:L90"/>
    <mergeCell ref="M90:N90"/>
    <mergeCell ref="O90:P90"/>
    <mergeCell ref="Q90:R90"/>
    <mergeCell ref="I92:L92"/>
    <mergeCell ref="I88:J88"/>
    <mergeCell ref="K88:L88"/>
    <mergeCell ref="M88:N88"/>
    <mergeCell ref="O88:P88"/>
    <mergeCell ref="Q88:R88"/>
    <mergeCell ref="I89:J89"/>
    <mergeCell ref="K89:L89"/>
    <mergeCell ref="M89:N89"/>
    <mergeCell ref="O89:P89"/>
    <mergeCell ref="Q89:R89"/>
    <mergeCell ref="N77:O77"/>
    <mergeCell ref="I77:J77"/>
    <mergeCell ref="I78:J78"/>
    <mergeCell ref="I79:J79"/>
    <mergeCell ref="L79:M79"/>
    <mergeCell ref="E81:G81"/>
    <mergeCell ref="E82:G82"/>
    <mergeCell ref="E83:G83"/>
    <mergeCell ref="I86:T86"/>
    <mergeCell ref="I87:J87"/>
    <mergeCell ref="K87:L87"/>
    <mergeCell ref="M87:N87"/>
    <mergeCell ref="O87:P87"/>
    <mergeCell ref="Q87:R87"/>
    <mergeCell ref="L77:M77"/>
    <mergeCell ref="L78:M78"/>
    <mergeCell ref="P77:Q77"/>
    <mergeCell ref="P78:Q78"/>
    <mergeCell ref="P79:Q79"/>
    <mergeCell ref="N78:O78"/>
    <mergeCell ref="N79:O79"/>
    <mergeCell ref="Q69:R69"/>
    <mergeCell ref="D71:F76"/>
    <mergeCell ref="N72:O72"/>
    <mergeCell ref="N74:O74"/>
    <mergeCell ref="I71:J72"/>
    <mergeCell ref="I73:J73"/>
    <mergeCell ref="I74:J74"/>
    <mergeCell ref="I75:J75"/>
    <mergeCell ref="I76:J76"/>
    <mergeCell ref="L72:M72"/>
    <mergeCell ref="L74:M74"/>
    <mergeCell ref="L75:M75"/>
    <mergeCell ref="L76:M76"/>
    <mergeCell ref="P72:Q72"/>
    <mergeCell ref="P74:Q74"/>
    <mergeCell ref="P75:Q75"/>
    <mergeCell ref="P76:Q76"/>
    <mergeCell ref="R72:S72"/>
    <mergeCell ref="R74:S74"/>
    <mergeCell ref="R75:S75"/>
    <mergeCell ref="R76:S76"/>
    <mergeCell ref="N75:O75"/>
    <mergeCell ref="N76:O76"/>
    <mergeCell ref="G67:H67"/>
    <mergeCell ref="G68:H68"/>
    <mergeCell ref="I69:J69"/>
    <mergeCell ref="K69:L69"/>
    <mergeCell ref="M69:N69"/>
    <mergeCell ref="O69:P69"/>
    <mergeCell ref="G66:H66"/>
    <mergeCell ref="I66:J66"/>
    <mergeCell ref="K66:L66"/>
    <mergeCell ref="M66:N66"/>
    <mergeCell ref="O66:P66"/>
    <mergeCell ref="Q66:R66"/>
    <mergeCell ref="G65:H65"/>
    <mergeCell ref="I65:J65"/>
    <mergeCell ref="K65:L65"/>
    <mergeCell ref="M65:N65"/>
    <mergeCell ref="O65:P65"/>
    <mergeCell ref="Q65:R65"/>
    <mergeCell ref="G64:H64"/>
    <mergeCell ref="I64:J64"/>
    <mergeCell ref="K64:L64"/>
    <mergeCell ref="M64:N64"/>
    <mergeCell ref="O64:P64"/>
    <mergeCell ref="Q64:R64"/>
    <mergeCell ref="G63:H63"/>
    <mergeCell ref="I63:J63"/>
    <mergeCell ref="K63:L63"/>
    <mergeCell ref="M63:N63"/>
    <mergeCell ref="O63:P63"/>
    <mergeCell ref="Q63:R63"/>
    <mergeCell ref="I57:J57"/>
    <mergeCell ref="K57:L57"/>
    <mergeCell ref="I58:J58"/>
    <mergeCell ref="K58:L58"/>
    <mergeCell ref="I59:J59"/>
    <mergeCell ref="K59:L59"/>
    <mergeCell ref="I52:L52"/>
    <mergeCell ref="I54:J54"/>
    <mergeCell ref="K54:L54"/>
    <mergeCell ref="I55:J55"/>
    <mergeCell ref="K55:L55"/>
    <mergeCell ref="I56:J56"/>
    <mergeCell ref="K56:L56"/>
    <mergeCell ref="I49:J49"/>
    <mergeCell ref="K49:L49"/>
    <mergeCell ref="M49:N49"/>
    <mergeCell ref="O49:P49"/>
    <mergeCell ref="Q49:R49"/>
    <mergeCell ref="I51:L51"/>
    <mergeCell ref="I47:J47"/>
    <mergeCell ref="K47:L47"/>
    <mergeCell ref="M47:N47"/>
    <mergeCell ref="O47:P47"/>
    <mergeCell ref="Q47:R47"/>
    <mergeCell ref="I48:J48"/>
    <mergeCell ref="K48:L48"/>
    <mergeCell ref="M48:N48"/>
    <mergeCell ref="O48:P48"/>
    <mergeCell ref="Q48:R48"/>
    <mergeCell ref="I45:J45"/>
    <mergeCell ref="K45:L45"/>
    <mergeCell ref="M45:N45"/>
    <mergeCell ref="O45:P45"/>
    <mergeCell ref="Q45:R45"/>
    <mergeCell ref="I46:J46"/>
    <mergeCell ref="K46:L46"/>
    <mergeCell ref="M46:N46"/>
    <mergeCell ref="O46:P46"/>
    <mergeCell ref="Q46:R46"/>
    <mergeCell ref="E40:G40"/>
    <mergeCell ref="H40:H42"/>
    <mergeCell ref="E41:G41"/>
    <mergeCell ref="E42:G42"/>
    <mergeCell ref="F43:G43"/>
    <mergeCell ref="I44:T44"/>
    <mergeCell ref="I34:J34"/>
    <mergeCell ref="K34:L34"/>
    <mergeCell ref="I35:J35"/>
    <mergeCell ref="K35:L35"/>
    <mergeCell ref="I36:J36"/>
    <mergeCell ref="K36:L36"/>
    <mergeCell ref="M25:N25"/>
    <mergeCell ref="O25:P25"/>
    <mergeCell ref="Q25:R25"/>
    <mergeCell ref="I29:L29"/>
    <mergeCell ref="I31:J31"/>
    <mergeCell ref="K31:L31"/>
    <mergeCell ref="I32:J32"/>
    <mergeCell ref="K32:L32"/>
    <mergeCell ref="I33:J33"/>
    <mergeCell ref="K33:L33"/>
    <mergeCell ref="I26:J26"/>
    <mergeCell ref="K26:L26"/>
    <mergeCell ref="G2:O4"/>
    <mergeCell ref="E19:F19"/>
    <mergeCell ref="I22:T22"/>
    <mergeCell ref="I23:J23"/>
    <mergeCell ref="K23:L23"/>
    <mergeCell ref="M23:N23"/>
    <mergeCell ref="O23:P23"/>
    <mergeCell ref="Q23:R23"/>
    <mergeCell ref="F12:G12"/>
    <mergeCell ref="F13:G13"/>
    <mergeCell ref="F14:G14"/>
    <mergeCell ref="F15:G15"/>
    <mergeCell ref="F16:G16"/>
    <mergeCell ref="E18:F18"/>
    <mergeCell ref="T72:U72"/>
    <mergeCell ref="T74:U74"/>
    <mergeCell ref="T75:U75"/>
    <mergeCell ref="T76:U76"/>
    <mergeCell ref="T77:U77"/>
    <mergeCell ref="T78:U78"/>
    <mergeCell ref="T79:U79"/>
    <mergeCell ref="F9:G10"/>
    <mergeCell ref="H9:H11"/>
    <mergeCell ref="M9:O9"/>
    <mergeCell ref="M10:O10"/>
    <mergeCell ref="F11:G11"/>
    <mergeCell ref="M11:O11"/>
    <mergeCell ref="M26:N26"/>
    <mergeCell ref="O26:P26"/>
    <mergeCell ref="Q26:R26"/>
    <mergeCell ref="I28:L28"/>
    <mergeCell ref="I24:J24"/>
    <mergeCell ref="K24:L24"/>
    <mergeCell ref="M24:N24"/>
    <mergeCell ref="O24:P24"/>
    <mergeCell ref="Q24:R24"/>
    <mergeCell ref="I25:J25"/>
    <mergeCell ref="K25:L25"/>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2:AO255"/>
  <sheetViews>
    <sheetView showGridLines="0" zoomScale="82" zoomScaleNormal="82" workbookViewId="0">
      <pane ySplit="7" topLeftCell="A8" activePane="bottomLeft" state="frozen"/>
      <selection pane="bottomLeft" activeCell="T130" sqref="T130:U130"/>
    </sheetView>
  </sheetViews>
  <sheetFormatPr defaultRowHeight="15" x14ac:dyDescent="0.25"/>
  <cols>
    <col min="1" max="1" width="12.7109375" customWidth="1"/>
    <col min="27" max="43" width="9.140625" customWidth="1"/>
  </cols>
  <sheetData>
    <row r="2" spans="1:19" x14ac:dyDescent="0.25">
      <c r="G2" s="836" t="s">
        <v>325</v>
      </c>
      <c r="H2" s="837"/>
      <c r="I2" s="837"/>
      <c r="J2" s="837"/>
      <c r="K2" s="837"/>
      <c r="L2" s="837"/>
      <c r="M2" s="837"/>
      <c r="N2" s="837"/>
      <c r="O2" s="838"/>
    </row>
    <row r="3" spans="1:19" x14ac:dyDescent="0.25">
      <c r="G3" s="839"/>
      <c r="H3" s="840"/>
      <c r="I3" s="840"/>
      <c r="J3" s="840"/>
      <c r="K3" s="840"/>
      <c r="L3" s="840"/>
      <c r="M3" s="840"/>
      <c r="N3" s="840"/>
      <c r="O3" s="841"/>
    </row>
    <row r="4" spans="1:19" x14ac:dyDescent="0.25">
      <c r="G4" s="842"/>
      <c r="H4" s="843"/>
      <c r="I4" s="843"/>
      <c r="J4" s="843"/>
      <c r="K4" s="843"/>
      <c r="L4" s="843"/>
      <c r="M4" s="843"/>
      <c r="N4" s="843"/>
      <c r="O4" s="844"/>
    </row>
    <row r="5" spans="1:19" x14ac:dyDescent="0.25">
      <c r="G5" s="250"/>
      <c r="H5" s="250"/>
      <c r="I5" s="250"/>
      <c r="J5" s="250"/>
      <c r="K5" s="250"/>
      <c r="L5" s="250"/>
      <c r="M5" s="250"/>
      <c r="N5" s="250"/>
      <c r="O5" s="250"/>
      <c r="P5" s="7"/>
    </row>
    <row r="6" spans="1:19" ht="28.5" x14ac:dyDescent="0.45">
      <c r="F6" s="248" t="s">
        <v>134</v>
      </c>
      <c r="G6" s="250"/>
      <c r="H6" s="250"/>
      <c r="J6" s="251" t="s">
        <v>135</v>
      </c>
      <c r="K6" s="250"/>
      <c r="L6" s="250"/>
      <c r="M6" s="250"/>
      <c r="N6" s="250"/>
      <c r="O6" s="250"/>
      <c r="P6" s="7"/>
    </row>
    <row r="7" spans="1:19" ht="28.5" x14ac:dyDescent="0.45">
      <c r="F7" s="249" t="s">
        <v>138</v>
      </c>
      <c r="O7" s="252" t="s">
        <v>139</v>
      </c>
    </row>
    <row r="8" spans="1:19" s="253" customFormat="1" x14ac:dyDescent="0.25">
      <c r="A8" s="253" t="s">
        <v>136</v>
      </c>
    </row>
    <row r="9" spans="1:19" s="7" customFormat="1" x14ac:dyDescent="0.25"/>
    <row r="10" spans="1:19" ht="15.75" x14ac:dyDescent="0.25">
      <c r="B10" t="s">
        <v>83</v>
      </c>
      <c r="J10" s="6" t="s">
        <v>133</v>
      </c>
      <c r="K10" s="276">
        <v>8.5</v>
      </c>
      <c r="L10" t="s">
        <v>84</v>
      </c>
      <c r="P10" s="543" t="s">
        <v>274</v>
      </c>
    </row>
    <row r="11" spans="1:19" ht="15.75" x14ac:dyDescent="0.25">
      <c r="J11" s="6"/>
      <c r="K11" s="313"/>
      <c r="S11" s="543"/>
    </row>
    <row r="12" spans="1:19" ht="15.75" x14ac:dyDescent="0.25">
      <c r="J12" t="s">
        <v>113</v>
      </c>
      <c r="K12" s="313"/>
      <c r="S12" s="543"/>
    </row>
    <row r="13" spans="1:19" ht="15.75" x14ac:dyDescent="0.25">
      <c r="J13" s="6"/>
      <c r="K13" s="313"/>
      <c r="S13" s="543"/>
    </row>
    <row r="15" spans="1:19" s="253" customFormat="1" x14ac:dyDescent="0.25">
      <c r="A15" s="253" t="s">
        <v>140</v>
      </c>
    </row>
    <row r="16" spans="1:19" s="7" customFormat="1" x14ac:dyDescent="0.25"/>
    <row r="17" spans="3:29" s="7" customFormat="1" ht="15.75" x14ac:dyDescent="0.25">
      <c r="F17" s="543" t="s">
        <v>256</v>
      </c>
      <c r="G17" s="543"/>
      <c r="H17" s="543"/>
      <c r="I17" s="543"/>
      <c r="J17" s="543"/>
    </row>
    <row r="18" spans="3:29" s="7" customFormat="1" x14ac:dyDescent="0.25"/>
    <row r="19" spans="3:29" s="7" customFormat="1" x14ac:dyDescent="0.25"/>
    <row r="20" spans="3:29" s="7" customFormat="1" x14ac:dyDescent="0.25"/>
    <row r="21" spans="3:29" ht="15" customHeight="1" x14ac:dyDescent="0.25">
      <c r="C21" s="859" t="s">
        <v>38</v>
      </c>
      <c r="D21" s="838"/>
      <c r="E21" s="859" t="s">
        <v>86</v>
      </c>
      <c r="F21" s="837"/>
      <c r="G21" s="838"/>
      <c r="H21" s="859" t="s">
        <v>141</v>
      </c>
      <c r="I21" s="837"/>
      <c r="J21" s="837"/>
      <c r="K21" s="838"/>
      <c r="L21" s="859" t="s">
        <v>132</v>
      </c>
      <c r="M21" s="837"/>
      <c r="N21" s="837"/>
      <c r="O21" s="838"/>
      <c r="P21" s="859" t="s">
        <v>142</v>
      </c>
      <c r="Q21" s="837"/>
      <c r="R21" s="837"/>
      <c r="S21" s="838"/>
      <c r="T21" s="847" t="s">
        <v>143</v>
      </c>
      <c r="U21" s="847" t="s">
        <v>144</v>
      </c>
      <c r="AB21" s="473">
        <v>1</v>
      </c>
      <c r="AC21" s="1" t="s">
        <v>92</v>
      </c>
    </row>
    <row r="22" spans="3:29" x14ac:dyDescent="0.25">
      <c r="C22" s="839"/>
      <c r="D22" s="841"/>
      <c r="E22" s="839"/>
      <c r="F22" s="882"/>
      <c r="G22" s="841"/>
      <c r="H22" s="839"/>
      <c r="I22" s="882"/>
      <c r="J22" s="882"/>
      <c r="K22" s="841"/>
      <c r="L22" s="839"/>
      <c r="M22" s="882"/>
      <c r="N22" s="882"/>
      <c r="O22" s="841"/>
      <c r="P22" s="839"/>
      <c r="Q22" s="882"/>
      <c r="R22" s="882"/>
      <c r="S22" s="841"/>
      <c r="T22" s="848"/>
      <c r="U22" s="848"/>
      <c r="AB22" s="473">
        <v>2</v>
      </c>
      <c r="AC22" s="1" t="s">
        <v>93</v>
      </c>
    </row>
    <row r="23" spans="3:29" ht="15" customHeight="1" x14ac:dyDescent="0.25">
      <c r="C23" s="839"/>
      <c r="D23" s="841"/>
      <c r="E23" s="839"/>
      <c r="F23" s="882"/>
      <c r="G23" s="841"/>
      <c r="H23" s="839"/>
      <c r="I23" s="882"/>
      <c r="J23" s="882"/>
      <c r="K23" s="841"/>
      <c r="L23" s="839"/>
      <c r="M23" s="882"/>
      <c r="N23" s="882"/>
      <c r="O23" s="841"/>
      <c r="P23" s="839"/>
      <c r="Q23" s="882"/>
      <c r="R23" s="882"/>
      <c r="S23" s="841"/>
      <c r="T23" s="848"/>
      <c r="U23" s="848"/>
      <c r="AB23" s="473">
        <v>3</v>
      </c>
      <c r="AC23" s="1" t="s">
        <v>94</v>
      </c>
    </row>
    <row r="24" spans="3:29" ht="15" customHeight="1" x14ac:dyDescent="0.25">
      <c r="C24" s="842"/>
      <c r="D24" s="844"/>
      <c r="E24" s="480" t="s">
        <v>45</v>
      </c>
      <c r="F24" s="481" t="s">
        <v>46</v>
      </c>
      <c r="G24" s="295" t="s">
        <v>85</v>
      </c>
      <c r="H24" s="238" t="s">
        <v>128</v>
      </c>
      <c r="I24" s="239" t="s">
        <v>129</v>
      </c>
      <c r="J24" s="239" t="s">
        <v>130</v>
      </c>
      <c r="K24" s="240" t="s">
        <v>131</v>
      </c>
      <c r="L24" s="238" t="s">
        <v>128</v>
      </c>
      <c r="M24" s="239" t="s">
        <v>129</v>
      </c>
      <c r="N24" s="239" t="s">
        <v>130</v>
      </c>
      <c r="O24" s="240" t="s">
        <v>131</v>
      </c>
      <c r="P24" s="263" t="s">
        <v>128</v>
      </c>
      <c r="Q24" s="264" t="s">
        <v>129</v>
      </c>
      <c r="R24" s="264" t="s">
        <v>130</v>
      </c>
      <c r="S24" s="265" t="s">
        <v>131</v>
      </c>
      <c r="T24" s="858"/>
      <c r="U24" s="848"/>
      <c r="AB24" s="473">
        <v>4</v>
      </c>
      <c r="AC24" s="1" t="s">
        <v>95</v>
      </c>
    </row>
    <row r="25" spans="3:29" x14ac:dyDescent="0.25">
      <c r="C25" s="835" t="s">
        <v>152</v>
      </c>
      <c r="D25" s="880"/>
      <c r="E25" s="482">
        <v>95</v>
      </c>
      <c r="F25" s="483">
        <v>110</v>
      </c>
      <c r="G25" s="247"/>
      <c r="H25" s="241">
        <f>15*G25/95</f>
        <v>0</v>
      </c>
      <c r="I25" s="241">
        <f>G25*25/95</f>
        <v>0</v>
      </c>
      <c r="J25" s="241">
        <f>G25*35/95</f>
        <v>0</v>
      </c>
      <c r="K25" s="242">
        <f>G25*20/95</f>
        <v>0</v>
      </c>
      <c r="L25" s="254">
        <v>0.35</v>
      </c>
      <c r="M25" s="255">
        <v>0.7</v>
      </c>
      <c r="N25" s="255">
        <v>1.1000000000000001</v>
      </c>
      <c r="O25" s="255">
        <v>0.3</v>
      </c>
      <c r="P25" s="254">
        <f>L25*$K$10</f>
        <v>2.9749999999999996</v>
      </c>
      <c r="Q25" s="255">
        <f t="shared" ref="Q25:S34" si="0">M25*$K$10</f>
        <v>5.9499999999999993</v>
      </c>
      <c r="R25" s="255">
        <f t="shared" si="0"/>
        <v>9.3500000000000014</v>
      </c>
      <c r="S25" s="256">
        <f t="shared" si="0"/>
        <v>2.5499999999999998</v>
      </c>
      <c r="T25" s="269">
        <f t="shared" ref="T25:T34" si="1">P25*H25+Q25*I25+R25*J25+S25*K25</f>
        <v>0</v>
      </c>
      <c r="U25" s="266" t="str">
        <f t="shared" ref="U25:U34" si="2">IF(SUM(H25:K25)=0,"",30*T25/(SUM(H25:K25)))</f>
        <v/>
      </c>
      <c r="AB25" s="473">
        <v>5</v>
      </c>
      <c r="AC25" s="1" t="s">
        <v>96</v>
      </c>
    </row>
    <row r="26" spans="3:29" x14ac:dyDescent="0.25">
      <c r="C26" s="826" t="s">
        <v>41</v>
      </c>
      <c r="D26" s="876"/>
      <c r="E26" s="484">
        <v>120</v>
      </c>
      <c r="F26" s="485">
        <v>140</v>
      </c>
      <c r="G26" s="235"/>
      <c r="H26" s="243">
        <f>G26*25/120</f>
        <v>0</v>
      </c>
      <c r="I26" s="243">
        <f>G26*25/120</f>
        <v>0</v>
      </c>
      <c r="J26" s="243">
        <f>G26*60/120</f>
        <v>0</v>
      </c>
      <c r="K26" s="244">
        <f>G26*15/120</f>
        <v>0</v>
      </c>
      <c r="L26" s="257">
        <v>0.45</v>
      </c>
      <c r="M26" s="258">
        <v>0.75</v>
      </c>
      <c r="N26" s="258">
        <v>1.05</v>
      </c>
      <c r="O26" s="258">
        <v>0.9</v>
      </c>
      <c r="P26" s="257">
        <f t="shared" ref="P26:P34" si="3">L26*$K$10</f>
        <v>3.8250000000000002</v>
      </c>
      <c r="Q26" s="258">
        <f t="shared" si="0"/>
        <v>6.375</v>
      </c>
      <c r="R26" s="258">
        <f t="shared" si="0"/>
        <v>8.9250000000000007</v>
      </c>
      <c r="S26" s="259">
        <f t="shared" si="0"/>
        <v>7.65</v>
      </c>
      <c r="T26" s="270">
        <f t="shared" si="1"/>
        <v>0</v>
      </c>
      <c r="U26" s="267" t="str">
        <f t="shared" si="2"/>
        <v/>
      </c>
      <c r="AB26" s="473">
        <v>6</v>
      </c>
      <c r="AC26" s="1" t="s">
        <v>97</v>
      </c>
    </row>
    <row r="27" spans="3:29" ht="15" customHeight="1" x14ac:dyDescent="0.25">
      <c r="C27" s="826" t="s">
        <v>153</v>
      </c>
      <c r="D27" s="876"/>
      <c r="E27" s="486">
        <v>130</v>
      </c>
      <c r="F27" s="487">
        <v>140</v>
      </c>
      <c r="G27" s="235"/>
      <c r="H27" s="243">
        <f>G27*25/130</f>
        <v>0</v>
      </c>
      <c r="I27" s="243">
        <f>G27*35/130</f>
        <v>0</v>
      </c>
      <c r="J27" s="243">
        <f>G27*45/130</f>
        <v>0</v>
      </c>
      <c r="K27" s="244">
        <f>G27*25/130</f>
        <v>0</v>
      </c>
      <c r="L27" s="257">
        <v>0.45</v>
      </c>
      <c r="M27" s="258">
        <v>0.75</v>
      </c>
      <c r="N27" s="258">
        <v>1.05</v>
      </c>
      <c r="O27" s="258">
        <v>0.7</v>
      </c>
      <c r="P27" s="257">
        <f t="shared" si="3"/>
        <v>3.8250000000000002</v>
      </c>
      <c r="Q27" s="258">
        <f t="shared" si="0"/>
        <v>6.375</v>
      </c>
      <c r="R27" s="258">
        <f t="shared" si="0"/>
        <v>8.9250000000000007</v>
      </c>
      <c r="S27" s="259">
        <f t="shared" si="0"/>
        <v>5.9499999999999993</v>
      </c>
      <c r="T27" s="270">
        <f t="shared" si="1"/>
        <v>0</v>
      </c>
      <c r="U27" s="267" t="str">
        <f t="shared" si="2"/>
        <v/>
      </c>
      <c r="AB27" s="473">
        <v>7</v>
      </c>
      <c r="AC27" s="1" t="s">
        <v>98</v>
      </c>
    </row>
    <row r="28" spans="3:29" x14ac:dyDescent="0.25">
      <c r="C28" s="826" t="s">
        <v>39</v>
      </c>
      <c r="D28" s="876"/>
      <c r="E28" s="484">
        <v>80</v>
      </c>
      <c r="F28" s="485">
        <v>110</v>
      </c>
      <c r="G28" s="235">
        <v>90</v>
      </c>
      <c r="H28" s="243">
        <f>G28*20/80</f>
        <v>22.5</v>
      </c>
      <c r="I28" s="243">
        <f>G28*25/80</f>
        <v>28.125</v>
      </c>
      <c r="J28" s="243">
        <f>G28*25/80</f>
        <v>28.125</v>
      </c>
      <c r="K28" s="244">
        <f>G28*10/80</f>
        <v>11.25</v>
      </c>
      <c r="L28" s="257">
        <v>0.4</v>
      </c>
      <c r="M28" s="258">
        <v>0.8</v>
      </c>
      <c r="N28" s="258">
        <v>1.1499999999999999</v>
      </c>
      <c r="O28" s="258">
        <v>1</v>
      </c>
      <c r="P28" s="257">
        <f t="shared" si="3"/>
        <v>3.4000000000000004</v>
      </c>
      <c r="Q28" s="258">
        <f t="shared" si="0"/>
        <v>6.8000000000000007</v>
      </c>
      <c r="R28" s="258">
        <f t="shared" si="0"/>
        <v>9.7749999999999986</v>
      </c>
      <c r="S28" s="259">
        <f t="shared" si="0"/>
        <v>8.5</v>
      </c>
      <c r="T28" s="270">
        <f t="shared" si="1"/>
        <v>638.296875</v>
      </c>
      <c r="U28" s="267">
        <f t="shared" si="2"/>
        <v>212.765625</v>
      </c>
      <c r="AB28" s="473">
        <v>8</v>
      </c>
      <c r="AC28" s="1" t="s">
        <v>99</v>
      </c>
    </row>
    <row r="29" spans="3:29" x14ac:dyDescent="0.25">
      <c r="C29" s="826" t="s">
        <v>255</v>
      </c>
      <c r="D29" s="876"/>
      <c r="E29" s="484">
        <v>120</v>
      </c>
      <c r="F29" s="485">
        <v>160</v>
      </c>
      <c r="G29" s="235"/>
      <c r="H29" s="243">
        <f>25*G29/120</f>
        <v>0</v>
      </c>
      <c r="I29" s="243">
        <f>35*G29/120</f>
        <v>0</v>
      </c>
      <c r="J29" s="243">
        <f>40*G29/120</f>
        <v>0</v>
      </c>
      <c r="K29" s="244">
        <f>20*G29/120</f>
        <v>0</v>
      </c>
      <c r="L29" s="257">
        <v>0.45</v>
      </c>
      <c r="M29" s="258">
        <v>0.75</v>
      </c>
      <c r="N29" s="258">
        <v>1</v>
      </c>
      <c r="O29" s="258">
        <v>0.75</v>
      </c>
      <c r="P29" s="257">
        <f t="shared" si="3"/>
        <v>3.8250000000000002</v>
      </c>
      <c r="Q29" s="258">
        <f t="shared" si="0"/>
        <v>6.375</v>
      </c>
      <c r="R29" s="258">
        <f t="shared" si="0"/>
        <v>8.5</v>
      </c>
      <c r="S29" s="259">
        <f t="shared" si="0"/>
        <v>6.375</v>
      </c>
      <c r="T29" s="270">
        <f t="shared" si="1"/>
        <v>0</v>
      </c>
      <c r="U29" s="267" t="str">
        <f t="shared" si="2"/>
        <v/>
      </c>
      <c r="AB29" s="473">
        <v>9</v>
      </c>
      <c r="AC29" s="1" t="s">
        <v>100</v>
      </c>
    </row>
    <row r="30" spans="3:29" x14ac:dyDescent="0.25">
      <c r="C30" s="826" t="s">
        <v>253</v>
      </c>
      <c r="D30" s="876"/>
      <c r="E30" s="484">
        <v>105</v>
      </c>
      <c r="F30" s="485">
        <v>140</v>
      </c>
      <c r="G30" s="235"/>
      <c r="H30" s="243">
        <f>15*G30/105</f>
        <v>0</v>
      </c>
      <c r="I30" s="243">
        <f>25*G30/105</f>
        <v>0</v>
      </c>
      <c r="J30" s="243">
        <f>40*G30/105</f>
        <v>0</v>
      </c>
      <c r="K30" s="244">
        <f>25*G30/105</f>
        <v>0</v>
      </c>
      <c r="L30" s="257">
        <v>0.35</v>
      </c>
      <c r="M30" s="258">
        <v>0.7</v>
      </c>
      <c r="N30" s="258">
        <v>1.1000000000000001</v>
      </c>
      <c r="O30" s="258">
        <v>0.65</v>
      </c>
      <c r="P30" s="257">
        <f t="shared" si="3"/>
        <v>2.9749999999999996</v>
      </c>
      <c r="Q30" s="258">
        <f t="shared" si="0"/>
        <v>5.9499999999999993</v>
      </c>
      <c r="R30" s="258">
        <f t="shared" si="0"/>
        <v>9.3500000000000014</v>
      </c>
      <c r="S30" s="259">
        <f t="shared" si="0"/>
        <v>5.5250000000000004</v>
      </c>
      <c r="T30" s="270">
        <f t="shared" si="1"/>
        <v>0</v>
      </c>
      <c r="U30" s="267" t="str">
        <f t="shared" si="2"/>
        <v/>
      </c>
      <c r="AB30" s="473">
        <v>10</v>
      </c>
      <c r="AC30" s="1" t="s">
        <v>101</v>
      </c>
    </row>
    <row r="31" spans="3:29" x14ac:dyDescent="0.25">
      <c r="C31" s="826" t="s">
        <v>254</v>
      </c>
      <c r="D31" s="876"/>
      <c r="E31" s="484">
        <v>150</v>
      </c>
      <c r="F31" s="485">
        <v>210</v>
      </c>
      <c r="G31" s="235"/>
      <c r="H31" s="243">
        <f>15*G31/150</f>
        <v>0</v>
      </c>
      <c r="I31" s="243">
        <f>25*G31/150</f>
        <v>0</v>
      </c>
      <c r="J31" s="243">
        <f>70*G31/150</f>
        <v>0</v>
      </c>
      <c r="K31" s="244">
        <f>40*G31/150</f>
        <v>0</v>
      </c>
      <c r="L31" s="257">
        <v>0.5</v>
      </c>
      <c r="M31" s="258">
        <v>0.75</v>
      </c>
      <c r="N31" s="258">
        <v>1.05</v>
      </c>
      <c r="O31" s="258">
        <v>0.85</v>
      </c>
      <c r="P31" s="257">
        <f t="shared" si="3"/>
        <v>4.25</v>
      </c>
      <c r="Q31" s="258">
        <f t="shared" si="0"/>
        <v>6.375</v>
      </c>
      <c r="R31" s="258">
        <f t="shared" si="0"/>
        <v>8.9250000000000007</v>
      </c>
      <c r="S31" s="259">
        <f t="shared" si="0"/>
        <v>7.2249999999999996</v>
      </c>
      <c r="T31" s="270">
        <f t="shared" si="1"/>
        <v>0</v>
      </c>
      <c r="U31" s="267" t="str">
        <f t="shared" si="2"/>
        <v/>
      </c>
      <c r="AB31" s="473">
        <v>11</v>
      </c>
      <c r="AC31" s="1" t="s">
        <v>102</v>
      </c>
    </row>
    <row r="32" spans="3:29" x14ac:dyDescent="0.25">
      <c r="C32" s="826" t="s">
        <v>40</v>
      </c>
      <c r="D32" s="876"/>
      <c r="E32" s="484">
        <v>120</v>
      </c>
      <c r="F32" s="485">
        <v>130</v>
      </c>
      <c r="G32" s="235">
        <v>120</v>
      </c>
      <c r="H32" s="243">
        <f>G32*20/120</f>
        <v>20</v>
      </c>
      <c r="I32" s="243">
        <f>G32*30/120</f>
        <v>30</v>
      </c>
      <c r="J32" s="243">
        <f>G32*40/120</f>
        <v>40</v>
      </c>
      <c r="K32" s="244">
        <f>G32*30/120</f>
        <v>30</v>
      </c>
      <c r="L32" s="257">
        <v>0.35</v>
      </c>
      <c r="M32" s="258">
        <v>0.75</v>
      </c>
      <c r="N32" s="258">
        <v>1.1000000000000001</v>
      </c>
      <c r="O32" s="258">
        <v>0.65</v>
      </c>
      <c r="P32" s="257">
        <f t="shared" si="3"/>
        <v>2.9749999999999996</v>
      </c>
      <c r="Q32" s="258">
        <f t="shared" si="0"/>
        <v>6.375</v>
      </c>
      <c r="R32" s="258">
        <f t="shared" si="0"/>
        <v>9.3500000000000014</v>
      </c>
      <c r="S32" s="259">
        <f t="shared" si="0"/>
        <v>5.5250000000000004</v>
      </c>
      <c r="T32" s="270">
        <f t="shared" si="1"/>
        <v>790.5</v>
      </c>
      <c r="U32" s="267">
        <f t="shared" si="2"/>
        <v>197.625</v>
      </c>
      <c r="V32" s="547" t="s">
        <v>256</v>
      </c>
      <c r="W32" s="547"/>
      <c r="X32" s="547"/>
      <c r="Y32" s="547"/>
      <c r="AB32" s="473">
        <v>12</v>
      </c>
      <c r="AC32" s="1" t="s">
        <v>103</v>
      </c>
    </row>
    <row r="33" spans="3:41" x14ac:dyDescent="0.25">
      <c r="C33" s="826" t="s">
        <v>154</v>
      </c>
      <c r="D33" s="876"/>
      <c r="E33" s="484">
        <v>60</v>
      </c>
      <c r="F33" s="485">
        <v>100</v>
      </c>
      <c r="G33" s="235">
        <v>60</v>
      </c>
      <c r="H33" s="243">
        <f>G33*20/100</f>
        <v>12</v>
      </c>
      <c r="I33" s="243">
        <f>G33*30/100</f>
        <v>18</v>
      </c>
      <c r="J33" s="243">
        <f>G33*40/100</f>
        <v>24</v>
      </c>
      <c r="K33" s="244">
        <f>G33*10/100</f>
        <v>6</v>
      </c>
      <c r="L33" s="257">
        <v>0.45</v>
      </c>
      <c r="M33" s="258">
        <v>0.6</v>
      </c>
      <c r="N33" s="258">
        <v>1</v>
      </c>
      <c r="O33" s="258">
        <v>0.9</v>
      </c>
      <c r="P33" s="257">
        <f t="shared" si="3"/>
        <v>3.8250000000000002</v>
      </c>
      <c r="Q33" s="258">
        <f t="shared" si="0"/>
        <v>5.0999999999999996</v>
      </c>
      <c r="R33" s="258">
        <f t="shared" si="0"/>
        <v>8.5</v>
      </c>
      <c r="S33" s="259">
        <f t="shared" si="0"/>
        <v>7.65</v>
      </c>
      <c r="T33" s="270">
        <f t="shared" si="1"/>
        <v>387.6</v>
      </c>
      <c r="U33" s="267">
        <f t="shared" si="2"/>
        <v>193.8</v>
      </c>
      <c r="AB33" s="473">
        <v>13</v>
      </c>
    </row>
    <row r="34" spans="3:41" x14ac:dyDescent="0.25">
      <c r="C34" s="870" t="s">
        <v>42</v>
      </c>
      <c r="D34" s="881"/>
      <c r="E34" s="488">
        <v>135</v>
      </c>
      <c r="F34" s="489">
        <v>180</v>
      </c>
      <c r="G34" s="236"/>
      <c r="H34" s="245">
        <f>G34*35/180</f>
        <v>0</v>
      </c>
      <c r="I34" s="245">
        <f>G34*45/180</f>
        <v>0</v>
      </c>
      <c r="J34" s="245">
        <f>G34*70/180</f>
        <v>0</v>
      </c>
      <c r="K34" s="246">
        <f>G34*30/180</f>
        <v>0</v>
      </c>
      <c r="L34" s="260">
        <v>0.45</v>
      </c>
      <c r="M34" s="261">
        <v>0.75</v>
      </c>
      <c r="N34" s="261">
        <v>1.1499999999999999</v>
      </c>
      <c r="O34" s="261">
        <v>0.8</v>
      </c>
      <c r="P34" s="260">
        <f t="shared" si="3"/>
        <v>3.8250000000000002</v>
      </c>
      <c r="Q34" s="261">
        <f t="shared" si="0"/>
        <v>6.375</v>
      </c>
      <c r="R34" s="261">
        <f t="shared" si="0"/>
        <v>9.7749999999999986</v>
      </c>
      <c r="S34" s="262">
        <f t="shared" si="0"/>
        <v>6.8000000000000007</v>
      </c>
      <c r="T34" s="271">
        <f t="shared" si="1"/>
        <v>0</v>
      </c>
      <c r="U34" s="268" t="str">
        <f t="shared" si="2"/>
        <v/>
      </c>
      <c r="AB34" s="473">
        <v>14</v>
      </c>
      <c r="AC34" s="1"/>
    </row>
    <row r="35" spans="3:41" x14ac:dyDescent="0.25">
      <c r="G35" s="1"/>
      <c r="H35" s="1"/>
      <c r="I35" s="1"/>
      <c r="J35" s="1"/>
      <c r="K35" s="1"/>
      <c r="AB35" s="473"/>
      <c r="AC35" s="1"/>
    </row>
    <row r="36" spans="3:41" x14ac:dyDescent="0.25">
      <c r="G36" s="1"/>
      <c r="H36" s="1"/>
      <c r="I36" s="1"/>
      <c r="J36" s="1"/>
      <c r="K36" s="1"/>
      <c r="AB36" s="473"/>
    </row>
    <row r="37" spans="3:41" ht="15" customHeight="1" x14ac:dyDescent="0.25">
      <c r="C37" s="859" t="s">
        <v>38</v>
      </c>
      <c r="D37" s="838"/>
      <c r="E37" s="847" t="s">
        <v>143</v>
      </c>
      <c r="F37" s="849" t="s">
        <v>146</v>
      </c>
      <c r="G37" s="850"/>
      <c r="H37" s="851"/>
      <c r="I37" s="292"/>
      <c r="J37" s="859" t="s">
        <v>38</v>
      </c>
      <c r="K37" s="838"/>
      <c r="L37" s="847" t="s">
        <v>155</v>
      </c>
      <c r="M37" s="847" t="s">
        <v>157</v>
      </c>
      <c r="O37" s="847" t="s">
        <v>143</v>
      </c>
      <c r="P37" s="859" t="s">
        <v>156</v>
      </c>
      <c r="Q37" s="850"/>
      <c r="R37" s="850"/>
      <c r="S37" s="850"/>
      <c r="T37" s="851"/>
      <c r="V37" s="847" t="s">
        <v>62</v>
      </c>
      <c r="W37" s="847" t="s">
        <v>63</v>
      </c>
      <c r="X37" s="868"/>
    </row>
    <row r="38" spans="3:41" x14ac:dyDescent="0.25">
      <c r="C38" s="839"/>
      <c r="D38" s="841"/>
      <c r="E38" s="848"/>
      <c r="F38" s="852"/>
      <c r="G38" s="853"/>
      <c r="H38" s="854"/>
      <c r="I38" s="292"/>
      <c r="J38" s="839"/>
      <c r="K38" s="841"/>
      <c r="L38" s="848"/>
      <c r="M38" s="848"/>
      <c r="O38" s="848"/>
      <c r="P38" s="852"/>
      <c r="Q38" s="869"/>
      <c r="R38" s="869"/>
      <c r="S38" s="869"/>
      <c r="T38" s="854"/>
      <c r="V38" s="848"/>
      <c r="W38" s="848"/>
      <c r="X38" s="868"/>
    </row>
    <row r="39" spans="3:41" x14ac:dyDescent="0.25">
      <c r="C39" s="839"/>
      <c r="D39" s="841"/>
      <c r="E39" s="848"/>
      <c r="F39" s="855"/>
      <c r="G39" s="856"/>
      <c r="H39" s="857"/>
      <c r="I39" s="292"/>
      <c r="J39" s="839"/>
      <c r="K39" s="841"/>
      <c r="L39" s="848"/>
      <c r="M39" s="848"/>
      <c r="O39" s="848"/>
      <c r="P39" s="852"/>
      <c r="Q39" s="869"/>
      <c r="R39" s="869"/>
      <c r="S39" s="869"/>
      <c r="T39" s="854"/>
      <c r="V39" s="848"/>
      <c r="W39" s="848"/>
      <c r="X39" s="868"/>
    </row>
    <row r="40" spans="3:41" x14ac:dyDescent="0.25">
      <c r="C40" s="839"/>
      <c r="D40" s="841"/>
      <c r="E40" s="858"/>
      <c r="F40" s="273" t="s">
        <v>45</v>
      </c>
      <c r="G40" s="273" t="s">
        <v>46</v>
      </c>
      <c r="H40" s="273" t="s">
        <v>145</v>
      </c>
      <c r="J40" s="842"/>
      <c r="K40" s="844"/>
      <c r="L40" s="848"/>
      <c r="M40" s="848"/>
      <c r="O40" s="848"/>
      <c r="P40" s="852"/>
      <c r="Q40" s="856"/>
      <c r="R40" s="856"/>
      <c r="S40" s="856"/>
      <c r="T40" s="857"/>
      <c r="V40" s="848"/>
      <c r="W40" s="848"/>
      <c r="X40" s="868"/>
      <c r="AC40" s="477" t="str">
        <f>IF(AB40="","",IF((AB40-1)&gt;=($AB$43-$S$43),AB40-1,""))</f>
        <v/>
      </c>
      <c r="AD40" s="477" t="str">
        <f>IF(AC40="","",IF((AC40-1)&gt;=($AB$43-$S$43),AC40-1,""))</f>
        <v/>
      </c>
      <c r="AE40" s="477" t="str">
        <f>IF(AD40="","",IF((AD40-1)&gt;=($AB$43-$S$43),AD40-1,""))</f>
        <v/>
      </c>
      <c r="AF40" s="477" t="str">
        <f>IF(AE40="","",IF((AE40-1)&gt;=($AB$43-$S$43),AE40-1,""))</f>
        <v/>
      </c>
      <c r="AG40" s="477" t="str">
        <f>IF(AF40="","",IF((AF40-1)&gt;=($AB$43-$S$43),AF40-1,""))</f>
        <v/>
      </c>
      <c r="AH40" s="477"/>
      <c r="AN40" t="str">
        <f t="shared" ref="AN40:AN50" si="4">IF(S40&lt;6,"",IF(AM40="","",IF((AM40-1)&gt;=($AI40-$S40+1),IF((AM40-1)&lt;=0,AM40-1+12,AM40-1),"")))</f>
        <v/>
      </c>
    </row>
    <row r="41" spans="3:41" x14ac:dyDescent="0.25">
      <c r="C41" s="835" t="str">
        <f t="shared" ref="C41:C50" si="5">C25</f>
        <v>Beans</v>
      </c>
      <c r="D41" s="825"/>
      <c r="E41" s="310">
        <f t="shared" ref="E41:E50" si="6">T25</f>
        <v>0</v>
      </c>
      <c r="F41" s="274">
        <v>300</v>
      </c>
      <c r="G41" s="274">
        <v>500</v>
      </c>
      <c r="H41" s="274">
        <f t="shared" ref="H41:H48" si="7">AVERAGE(F41:G41)</f>
        <v>400</v>
      </c>
      <c r="J41" s="835" t="str">
        <f t="shared" ref="J41:J50" si="8">C41</f>
        <v>Beans</v>
      </c>
      <c r="K41" s="825"/>
      <c r="L41" s="307">
        <f t="shared" ref="L41:L50" si="9">G25</f>
        <v>0</v>
      </c>
      <c r="M41" s="297">
        <f t="shared" ref="M41:M50" si="10">L41/30</f>
        <v>0</v>
      </c>
      <c r="O41" s="269">
        <f t="shared" ref="O41:O50" si="11">E41</f>
        <v>0</v>
      </c>
      <c r="P41" s="475">
        <f t="shared" ref="P41:P50" si="12">IF(O41=0,0,O41/M41)</f>
        <v>0</v>
      </c>
      <c r="Q41" s="300" t="s">
        <v>158</v>
      </c>
      <c r="R41" s="4"/>
      <c r="S41" s="301">
        <f t="shared" ref="S41:S50" si="13">M41</f>
        <v>0</v>
      </c>
      <c r="T41" s="302" t="s">
        <v>64</v>
      </c>
      <c r="V41" s="458"/>
      <c r="W41" s="554"/>
      <c r="X41" s="835" t="str">
        <f>C41</f>
        <v>Beans</v>
      </c>
      <c r="Y41" s="825"/>
      <c r="AB41" s="1" t="str">
        <f t="shared" ref="AB41:AB50" si="14">IF(V41="","",IF(V41=$AC$21,$AB$21,IF(V41=$AC$22,$AB$22,IF(V41=$AC$23,$AB$23,IF(V41=$AC$24,$AB$24,IF(V41=$AC$25,$AB$25,IF(V41=$AC$26,$AB$26,IF(V41=$AC$27,$AB$27,IF(V41=$AC$28,$AB$28,IF(V41=$AC$29,$AB$29,IF(V41=$AC$30,$AB$30,IF(V41=$AC$31,$AB$31,IF(V41=$AC$32,$AB$32)))))))))))))</f>
        <v/>
      </c>
      <c r="AC41" s="477" t="str">
        <f t="shared" ref="AC41:AC50" si="15">IF(S41&lt;2,"",IF(AB41="","",IF((AB41-1)&gt;=($AB41-$S41+1),IF((AB41-1)&lt;=0,AB41-1+12,AB41-1),"")))</f>
        <v/>
      </c>
      <c r="AD41" s="477" t="str">
        <f t="shared" ref="AD41:AD50" si="16">IF(S41&lt;3,"",IF(AC41="","",IF((AC41-1)&gt;=($AB41-$S41+1),IF((AC41-1)&lt;=0,AC41-1+12,AC41-1),"")))</f>
        <v/>
      </c>
      <c r="AE41" s="477" t="str">
        <f t="shared" ref="AE41:AE50" si="17">IF(S41&lt;4,"",IF(AD41="","",IF((AD41-1)&gt;=($AB41-$S41+1),IF((AD41-1)&lt;=0,AD41-1+12,AD41-1),"")))</f>
        <v/>
      </c>
      <c r="AF41" s="477" t="str">
        <f t="shared" ref="AF41:AF50" si="18">IF(S41&lt;5,"",IF(AE41="","",IF((AE41-1)&gt;=($AB41-$S41+1),IF((AE41-1)&lt;=0,AE41-1+12,AE41-1),"")))</f>
        <v/>
      </c>
      <c r="AG41" s="477" t="str">
        <f t="shared" ref="AG41:AG50" si="19">IF(S41&lt;6,"",IF(AF41="","",IF((AF41-1)&gt;=($AB41-$S41+1),IF((AF41-1)&lt;=0,AF41-1+12,AF41-1),"")))</f>
        <v/>
      </c>
      <c r="AH41" s="477" t="str">
        <f t="shared" ref="AH41:AH50" si="20">IF(S41&lt;7,"",IF(AG41="","",IF((AG41-1)&gt;=($AB41-$S41+1),IF((AG41-1)&lt;=0,AG41-1+12,AG41-1),"")))</f>
        <v/>
      </c>
      <c r="AI41" s="1" t="str">
        <f t="shared" ref="AI41:AI50" si="21">IF(W41="","",IF(W41=$AC$21,$AB$21,IF(W41=$AC$22,$AB$22,IF(W41=$AC$23,$AB$23,IF(W41=$AC$24,$AB$24,IF(W41=$AC$25,$AB$25,IF(W41=$AC$26,$AB$26,IF(W41=$AC$27,$AB$27,IF(W41=$AC$28,$AB$28,IF(W41=$AC$29,$AB$29,IF(W41=$AC$30,$AB$30,IF(W41=$AC$31,$AB$31,IF(W41=$AC$32,$AB$32)))))))))))))</f>
        <v/>
      </c>
      <c r="AJ41" t="str">
        <f t="shared" ref="AJ41:AJ50" si="22">IF(S41&lt;2,"",IF(AI41="","",IF((AI41-1)&gt;=($AI41-$S41+1),IF((AI41-1)&lt;=0,AI41-1+12,AI41-1),"")))</f>
        <v/>
      </c>
      <c r="AK41" t="str">
        <f t="shared" ref="AK41:AK50" si="23">IF(S41&lt;3,"",IF(AJ41="","",IF((AJ41-1)&gt;=($AI41-$S41+1),IF((AJ41-1)&lt;=0,AJ41-1+12,AJ41-1),"")))</f>
        <v/>
      </c>
      <c r="AL41" t="str">
        <f t="shared" ref="AL41:AL50" si="24">IF(S41&lt;4,"",IF(AK41="","",IF((AK41-1)&gt;=($AI41-$S41+1),IF((AK41-1)&lt;=0,AK41-1+12,AK41-1),"")))</f>
        <v/>
      </c>
      <c r="AM41" t="str">
        <f t="shared" ref="AM41:AM50" si="25">IF(S41&lt;5,"",IF(AL41="","",IF((AL41-1)&gt;=($AI41-$S41+1),IF((AL41-1)&lt;=0,AL41-1+12,AL41-1),"")))</f>
        <v/>
      </c>
      <c r="AN41" t="str">
        <f t="shared" si="4"/>
        <v/>
      </c>
      <c r="AO41" t="str">
        <f t="shared" ref="AO41:AO50" si="26">IF(AN41="","",IF((AN41-1)&gt;=($AI41-$S41),AN41-1,""))</f>
        <v/>
      </c>
    </row>
    <row r="42" spans="3:41" ht="15" customHeight="1" x14ac:dyDescent="0.25">
      <c r="C42" s="826" t="str">
        <f t="shared" si="5"/>
        <v>Cabbage</v>
      </c>
      <c r="D42" s="827"/>
      <c r="E42" s="310">
        <f t="shared" si="6"/>
        <v>0</v>
      </c>
      <c r="F42" s="274">
        <v>350</v>
      </c>
      <c r="G42" s="274">
        <v>500</v>
      </c>
      <c r="H42" s="274">
        <f t="shared" si="7"/>
        <v>425</v>
      </c>
      <c r="J42" s="826" t="str">
        <f t="shared" si="8"/>
        <v>Cabbage</v>
      </c>
      <c r="K42" s="827"/>
      <c r="L42" s="308">
        <f t="shared" si="9"/>
        <v>0</v>
      </c>
      <c r="M42" s="298">
        <f t="shared" si="10"/>
        <v>0</v>
      </c>
      <c r="O42" s="270">
        <f t="shared" si="11"/>
        <v>0</v>
      </c>
      <c r="P42" s="476">
        <f t="shared" si="12"/>
        <v>0</v>
      </c>
      <c r="Q42" s="272" t="s">
        <v>158</v>
      </c>
      <c r="R42" s="3"/>
      <c r="S42" s="296">
        <f t="shared" si="13"/>
        <v>0</v>
      </c>
      <c r="T42" s="303" t="s">
        <v>64</v>
      </c>
      <c r="V42" s="459"/>
      <c r="W42" s="555"/>
      <c r="X42" s="826" t="str">
        <f t="shared" ref="X42:X50" si="27">C42</f>
        <v>Cabbage</v>
      </c>
      <c r="Y42" s="827"/>
      <c r="AB42" s="1" t="str">
        <f t="shared" si="14"/>
        <v/>
      </c>
      <c r="AC42" s="477" t="str">
        <f t="shared" si="15"/>
        <v/>
      </c>
      <c r="AD42" s="477" t="str">
        <f t="shared" si="16"/>
        <v/>
      </c>
      <c r="AE42" s="477" t="str">
        <f t="shared" si="17"/>
        <v/>
      </c>
      <c r="AF42" s="477" t="str">
        <f t="shared" si="18"/>
        <v/>
      </c>
      <c r="AG42" s="477" t="str">
        <f t="shared" si="19"/>
        <v/>
      </c>
      <c r="AH42" s="477" t="str">
        <f t="shared" si="20"/>
        <v/>
      </c>
      <c r="AI42" s="1" t="str">
        <f t="shared" si="21"/>
        <v/>
      </c>
      <c r="AJ42" t="str">
        <f t="shared" si="22"/>
        <v/>
      </c>
      <c r="AK42" t="str">
        <f t="shared" si="23"/>
        <v/>
      </c>
      <c r="AL42" t="str">
        <f t="shared" si="24"/>
        <v/>
      </c>
      <c r="AM42" t="str">
        <f t="shared" si="25"/>
        <v/>
      </c>
      <c r="AN42" t="str">
        <f t="shared" si="4"/>
        <v/>
      </c>
      <c r="AO42" t="str">
        <f t="shared" si="26"/>
        <v/>
      </c>
    </row>
    <row r="43" spans="3:41" ht="15" customHeight="1" x14ac:dyDescent="0.25">
      <c r="C43" s="826" t="str">
        <f t="shared" si="5"/>
        <v>Groundnut</v>
      </c>
      <c r="D43" s="827"/>
      <c r="E43" s="310">
        <f t="shared" si="6"/>
        <v>0</v>
      </c>
      <c r="F43" s="274">
        <v>500</v>
      </c>
      <c r="G43" s="274">
        <v>700</v>
      </c>
      <c r="H43" s="274">
        <f t="shared" si="7"/>
        <v>600</v>
      </c>
      <c r="J43" s="826" t="str">
        <f t="shared" si="8"/>
        <v>Groundnut</v>
      </c>
      <c r="K43" s="827"/>
      <c r="L43" s="308">
        <f t="shared" si="9"/>
        <v>0</v>
      </c>
      <c r="M43" s="298">
        <f t="shared" si="10"/>
        <v>0</v>
      </c>
      <c r="O43" s="270">
        <f t="shared" si="11"/>
        <v>0</v>
      </c>
      <c r="P43" s="476">
        <f t="shared" si="12"/>
        <v>0</v>
      </c>
      <c r="Q43" s="272" t="s">
        <v>158</v>
      </c>
      <c r="R43" s="3"/>
      <c r="S43" s="296">
        <f t="shared" si="13"/>
        <v>0</v>
      </c>
      <c r="T43" s="303" t="s">
        <v>64</v>
      </c>
      <c r="V43" s="459"/>
      <c r="W43" s="555"/>
      <c r="X43" s="826" t="str">
        <f t="shared" si="27"/>
        <v>Groundnut</v>
      </c>
      <c r="Y43" s="827"/>
      <c r="AB43" s="1" t="str">
        <f t="shared" si="14"/>
        <v/>
      </c>
      <c r="AC43" s="477" t="str">
        <f t="shared" si="15"/>
        <v/>
      </c>
      <c r="AD43" s="477" t="str">
        <f t="shared" si="16"/>
        <v/>
      </c>
      <c r="AE43" s="477" t="str">
        <f t="shared" si="17"/>
        <v/>
      </c>
      <c r="AF43" s="477" t="str">
        <f t="shared" si="18"/>
        <v/>
      </c>
      <c r="AG43" s="477" t="str">
        <f t="shared" si="19"/>
        <v/>
      </c>
      <c r="AH43" s="477" t="str">
        <f t="shared" si="20"/>
        <v/>
      </c>
      <c r="AI43" s="1" t="str">
        <f t="shared" si="21"/>
        <v/>
      </c>
      <c r="AJ43" t="str">
        <f t="shared" si="22"/>
        <v/>
      </c>
      <c r="AK43" t="str">
        <f t="shared" si="23"/>
        <v/>
      </c>
      <c r="AL43" t="str">
        <f t="shared" si="24"/>
        <v/>
      </c>
      <c r="AM43" t="str">
        <f t="shared" si="25"/>
        <v/>
      </c>
      <c r="AN43" t="str">
        <f t="shared" si="4"/>
        <v/>
      </c>
      <c r="AO43" t="str">
        <f t="shared" si="26"/>
        <v/>
      </c>
    </row>
    <row r="44" spans="3:41" ht="15" customHeight="1" x14ac:dyDescent="0.25">
      <c r="C44" s="826" t="str">
        <f t="shared" si="5"/>
        <v>Maize</v>
      </c>
      <c r="D44" s="827"/>
      <c r="E44" s="310">
        <f t="shared" si="6"/>
        <v>638.296875</v>
      </c>
      <c r="F44" s="274">
        <v>500</v>
      </c>
      <c r="G44" s="274">
        <v>800</v>
      </c>
      <c r="H44" s="274">
        <f t="shared" si="7"/>
        <v>650</v>
      </c>
      <c r="J44" s="826" t="str">
        <f>C44</f>
        <v>Maize</v>
      </c>
      <c r="K44" s="827"/>
      <c r="L44" s="308">
        <f t="shared" si="9"/>
        <v>90</v>
      </c>
      <c r="M44" s="298">
        <f t="shared" si="10"/>
        <v>3</v>
      </c>
      <c r="O44" s="270">
        <f t="shared" si="11"/>
        <v>638.296875</v>
      </c>
      <c r="P44" s="476">
        <f t="shared" si="12"/>
        <v>212.765625</v>
      </c>
      <c r="Q44" s="272" t="s">
        <v>158</v>
      </c>
      <c r="R44" s="3"/>
      <c r="S44" s="296">
        <f t="shared" si="13"/>
        <v>3</v>
      </c>
      <c r="T44" s="303" t="s">
        <v>64</v>
      </c>
      <c r="V44" s="459" t="s">
        <v>98</v>
      </c>
      <c r="W44" s="555" t="s">
        <v>92</v>
      </c>
      <c r="X44" s="826" t="str">
        <f t="shared" si="27"/>
        <v>Maize</v>
      </c>
      <c r="Y44" s="827"/>
      <c r="AB44" s="1">
        <f t="shared" si="14"/>
        <v>7</v>
      </c>
      <c r="AC44" s="477">
        <f t="shared" si="15"/>
        <v>6</v>
      </c>
      <c r="AD44" s="477">
        <f t="shared" si="16"/>
        <v>5</v>
      </c>
      <c r="AE44" s="477" t="str">
        <f t="shared" si="17"/>
        <v/>
      </c>
      <c r="AF44" s="477" t="str">
        <f t="shared" si="18"/>
        <v/>
      </c>
      <c r="AG44" s="477" t="str">
        <f t="shared" si="19"/>
        <v/>
      </c>
      <c r="AH44" s="477" t="str">
        <f t="shared" si="20"/>
        <v/>
      </c>
      <c r="AI44" s="1">
        <f t="shared" si="21"/>
        <v>1</v>
      </c>
      <c r="AJ44">
        <f t="shared" si="22"/>
        <v>12</v>
      </c>
      <c r="AK44">
        <f t="shared" si="23"/>
        <v>11</v>
      </c>
      <c r="AL44" t="str">
        <f t="shared" si="24"/>
        <v/>
      </c>
      <c r="AM44" t="str">
        <f t="shared" si="25"/>
        <v/>
      </c>
      <c r="AN44" t="str">
        <f t="shared" si="4"/>
        <v/>
      </c>
      <c r="AO44" t="str">
        <f t="shared" si="26"/>
        <v/>
      </c>
    </row>
    <row r="45" spans="3:41" ht="15" customHeight="1" x14ac:dyDescent="0.25">
      <c r="C45" s="826" t="str">
        <f t="shared" si="5"/>
        <v>Melon</v>
      </c>
      <c r="D45" s="827"/>
      <c r="E45" s="310">
        <f t="shared" si="6"/>
        <v>0</v>
      </c>
      <c r="F45" s="274">
        <v>400</v>
      </c>
      <c r="G45" s="274">
        <v>600</v>
      </c>
      <c r="H45" s="274">
        <f t="shared" si="7"/>
        <v>500</v>
      </c>
      <c r="J45" s="826" t="str">
        <f>C45</f>
        <v>Melon</v>
      </c>
      <c r="K45" s="827"/>
      <c r="L45" s="308">
        <f t="shared" si="9"/>
        <v>0</v>
      </c>
      <c r="M45" s="298">
        <f t="shared" si="10"/>
        <v>0</v>
      </c>
      <c r="O45" s="270">
        <f t="shared" si="11"/>
        <v>0</v>
      </c>
      <c r="P45" s="476">
        <f t="shared" si="12"/>
        <v>0</v>
      </c>
      <c r="Q45" s="272" t="s">
        <v>158</v>
      </c>
      <c r="R45" s="3"/>
      <c r="S45" s="296">
        <f t="shared" si="13"/>
        <v>0</v>
      </c>
      <c r="T45" s="303" t="s">
        <v>64</v>
      </c>
      <c r="V45" s="459"/>
      <c r="W45" s="555"/>
      <c r="X45" s="826" t="str">
        <f t="shared" si="27"/>
        <v>Melon</v>
      </c>
      <c r="Y45" s="827"/>
      <c r="AB45" s="1" t="str">
        <f t="shared" si="14"/>
        <v/>
      </c>
      <c r="AC45" s="477" t="str">
        <f t="shared" si="15"/>
        <v/>
      </c>
      <c r="AD45" s="477" t="str">
        <f t="shared" si="16"/>
        <v/>
      </c>
      <c r="AE45" s="477" t="str">
        <f t="shared" si="17"/>
        <v/>
      </c>
      <c r="AF45" s="477" t="str">
        <f t="shared" si="18"/>
        <v/>
      </c>
      <c r="AG45" s="477" t="str">
        <f t="shared" si="19"/>
        <v/>
      </c>
      <c r="AH45" s="477" t="str">
        <f t="shared" si="20"/>
        <v/>
      </c>
      <c r="AI45" s="1" t="str">
        <f t="shared" si="21"/>
        <v/>
      </c>
      <c r="AJ45" t="str">
        <f t="shared" si="22"/>
        <v/>
      </c>
      <c r="AK45" t="str">
        <f t="shared" si="23"/>
        <v/>
      </c>
      <c r="AL45" t="str">
        <f t="shared" si="24"/>
        <v/>
      </c>
      <c r="AM45" t="str">
        <f t="shared" si="25"/>
        <v/>
      </c>
      <c r="AN45" t="str">
        <f t="shared" si="4"/>
        <v/>
      </c>
      <c r="AO45" t="str">
        <f t="shared" si="26"/>
        <v/>
      </c>
    </row>
    <row r="46" spans="3:41" ht="15" customHeight="1" x14ac:dyDescent="0.25">
      <c r="C46" s="826" t="str">
        <f t="shared" si="5"/>
        <v>Millet</v>
      </c>
      <c r="D46" s="827"/>
      <c r="E46" s="310">
        <f t="shared" si="6"/>
        <v>0</v>
      </c>
      <c r="F46" s="274">
        <v>450</v>
      </c>
      <c r="G46" s="274">
        <v>650</v>
      </c>
      <c r="H46" s="274">
        <f t="shared" si="7"/>
        <v>550</v>
      </c>
      <c r="J46" s="826" t="str">
        <f>C46</f>
        <v>Millet</v>
      </c>
      <c r="K46" s="827"/>
      <c r="L46" s="308">
        <f t="shared" si="9"/>
        <v>0</v>
      </c>
      <c r="M46" s="298">
        <f t="shared" si="10"/>
        <v>0</v>
      </c>
      <c r="O46" s="270">
        <f t="shared" si="11"/>
        <v>0</v>
      </c>
      <c r="P46" s="476">
        <f t="shared" si="12"/>
        <v>0</v>
      </c>
      <c r="Q46" s="272" t="s">
        <v>158</v>
      </c>
      <c r="R46" s="3"/>
      <c r="S46" s="296">
        <f t="shared" si="13"/>
        <v>0</v>
      </c>
      <c r="T46" s="303" t="s">
        <v>64</v>
      </c>
      <c r="V46" s="459"/>
      <c r="W46" s="555"/>
      <c r="X46" s="826" t="str">
        <f t="shared" si="27"/>
        <v>Millet</v>
      </c>
      <c r="Y46" s="827"/>
      <c r="AB46" s="1" t="str">
        <f t="shared" si="14"/>
        <v/>
      </c>
      <c r="AC46" s="477" t="str">
        <f t="shared" si="15"/>
        <v/>
      </c>
      <c r="AD46" s="477" t="str">
        <f t="shared" si="16"/>
        <v/>
      </c>
      <c r="AE46" s="477" t="str">
        <f t="shared" si="17"/>
        <v/>
      </c>
      <c r="AF46" s="477" t="str">
        <f t="shared" si="18"/>
        <v/>
      </c>
      <c r="AG46" s="477" t="str">
        <f t="shared" si="19"/>
        <v/>
      </c>
      <c r="AH46" s="477" t="str">
        <f t="shared" si="20"/>
        <v/>
      </c>
      <c r="AI46" s="1" t="str">
        <f t="shared" si="21"/>
        <v/>
      </c>
      <c r="AJ46" t="str">
        <f t="shared" si="22"/>
        <v/>
      </c>
      <c r="AK46" t="str">
        <f t="shared" si="23"/>
        <v/>
      </c>
      <c r="AL46" t="str">
        <f t="shared" si="24"/>
        <v/>
      </c>
      <c r="AM46" t="str">
        <f t="shared" si="25"/>
        <v/>
      </c>
      <c r="AN46" t="str">
        <f t="shared" si="4"/>
        <v/>
      </c>
      <c r="AO46" t="str">
        <f t="shared" si="26"/>
        <v/>
      </c>
    </row>
    <row r="47" spans="3:41" ht="15" customHeight="1" x14ac:dyDescent="0.25">
      <c r="C47" s="826" t="str">
        <f t="shared" si="5"/>
        <v>Onion dry</v>
      </c>
      <c r="D47" s="827"/>
      <c r="E47" s="310">
        <f t="shared" si="6"/>
        <v>0</v>
      </c>
      <c r="F47" s="274">
        <v>350</v>
      </c>
      <c r="G47" s="274">
        <v>550</v>
      </c>
      <c r="H47" s="274">
        <f t="shared" si="7"/>
        <v>450</v>
      </c>
      <c r="J47" s="826" t="str">
        <f>C47</f>
        <v>Onion dry</v>
      </c>
      <c r="K47" s="827"/>
      <c r="L47" s="308">
        <f t="shared" si="9"/>
        <v>0</v>
      </c>
      <c r="M47" s="298">
        <f t="shared" si="10"/>
        <v>0</v>
      </c>
      <c r="O47" s="270">
        <f t="shared" si="11"/>
        <v>0</v>
      </c>
      <c r="P47" s="476">
        <f t="shared" si="12"/>
        <v>0</v>
      </c>
      <c r="Q47" s="272" t="s">
        <v>158</v>
      </c>
      <c r="R47" s="3"/>
      <c r="S47" s="296">
        <f t="shared" si="13"/>
        <v>0</v>
      </c>
      <c r="T47" s="303" t="s">
        <v>64</v>
      </c>
      <c r="V47" s="459"/>
      <c r="W47" s="555"/>
      <c r="X47" s="826" t="str">
        <f t="shared" si="27"/>
        <v>Onion dry</v>
      </c>
      <c r="Y47" s="827"/>
      <c r="AB47" s="1" t="str">
        <f t="shared" si="14"/>
        <v/>
      </c>
      <c r="AC47" s="477" t="str">
        <f t="shared" si="15"/>
        <v/>
      </c>
      <c r="AD47" s="477" t="str">
        <f t="shared" si="16"/>
        <v/>
      </c>
      <c r="AE47" s="477" t="str">
        <f t="shared" si="17"/>
        <v/>
      </c>
      <c r="AF47" s="477" t="str">
        <f t="shared" si="18"/>
        <v/>
      </c>
      <c r="AG47" s="477" t="str">
        <f t="shared" si="19"/>
        <v/>
      </c>
      <c r="AH47" s="477" t="str">
        <f t="shared" si="20"/>
        <v/>
      </c>
      <c r="AI47" s="1" t="str">
        <f t="shared" si="21"/>
        <v/>
      </c>
      <c r="AJ47" t="str">
        <f t="shared" si="22"/>
        <v/>
      </c>
      <c r="AK47" t="str">
        <f t="shared" si="23"/>
        <v/>
      </c>
      <c r="AL47" t="str">
        <f t="shared" si="24"/>
        <v/>
      </c>
      <c r="AM47" t="str">
        <f t="shared" si="25"/>
        <v/>
      </c>
      <c r="AN47" t="str">
        <f t="shared" si="4"/>
        <v/>
      </c>
      <c r="AO47" t="str">
        <f t="shared" si="26"/>
        <v/>
      </c>
    </row>
    <row r="48" spans="3:41" ht="15" customHeight="1" x14ac:dyDescent="0.25">
      <c r="C48" s="826" t="str">
        <f t="shared" si="5"/>
        <v>Sorghum</v>
      </c>
      <c r="D48" s="827"/>
      <c r="E48" s="310">
        <f t="shared" si="6"/>
        <v>790.5</v>
      </c>
      <c r="F48" s="274">
        <v>450</v>
      </c>
      <c r="G48" s="274">
        <v>650</v>
      </c>
      <c r="H48" s="274">
        <f t="shared" si="7"/>
        <v>550</v>
      </c>
      <c r="J48" s="826" t="str">
        <f>C48</f>
        <v>Sorghum</v>
      </c>
      <c r="K48" s="827"/>
      <c r="L48" s="308">
        <f t="shared" si="9"/>
        <v>120</v>
      </c>
      <c r="M48" s="298">
        <f t="shared" si="10"/>
        <v>4</v>
      </c>
      <c r="O48" s="270">
        <f t="shared" si="11"/>
        <v>790.5</v>
      </c>
      <c r="P48" s="476">
        <f t="shared" si="12"/>
        <v>197.625</v>
      </c>
      <c r="Q48" s="272" t="s">
        <v>158</v>
      </c>
      <c r="R48" s="3"/>
      <c r="S48" s="296">
        <f t="shared" si="13"/>
        <v>4</v>
      </c>
      <c r="T48" s="303" t="s">
        <v>64</v>
      </c>
      <c r="V48" s="459" t="s">
        <v>98</v>
      </c>
      <c r="W48" s="555" t="s">
        <v>92</v>
      </c>
      <c r="X48" s="826" t="str">
        <f t="shared" si="27"/>
        <v>Sorghum</v>
      </c>
      <c r="Y48" s="827"/>
      <c r="AB48" s="1">
        <f t="shared" si="14"/>
        <v>7</v>
      </c>
      <c r="AC48" s="477">
        <f t="shared" si="15"/>
        <v>6</v>
      </c>
      <c r="AD48" s="477">
        <f t="shared" si="16"/>
        <v>5</v>
      </c>
      <c r="AE48" s="477">
        <f t="shared" si="17"/>
        <v>4</v>
      </c>
      <c r="AF48" s="477" t="str">
        <f t="shared" si="18"/>
        <v/>
      </c>
      <c r="AG48" s="477" t="str">
        <f t="shared" si="19"/>
        <v/>
      </c>
      <c r="AH48" s="477" t="str">
        <f t="shared" si="20"/>
        <v/>
      </c>
      <c r="AI48" s="1">
        <f t="shared" si="21"/>
        <v>1</v>
      </c>
      <c r="AJ48">
        <f t="shared" si="22"/>
        <v>12</v>
      </c>
      <c r="AK48">
        <f t="shared" si="23"/>
        <v>11</v>
      </c>
      <c r="AL48">
        <f t="shared" si="24"/>
        <v>10</v>
      </c>
      <c r="AM48" t="str">
        <f t="shared" si="25"/>
        <v/>
      </c>
      <c r="AN48" t="str">
        <f t="shared" si="4"/>
        <v/>
      </c>
      <c r="AO48" t="str">
        <f t="shared" si="26"/>
        <v/>
      </c>
    </row>
    <row r="49" spans="1:41" ht="15" customHeight="1" x14ac:dyDescent="0.25">
      <c r="C49" s="826" t="str">
        <f t="shared" si="5"/>
        <v>Spinach</v>
      </c>
      <c r="D49" s="827"/>
      <c r="E49" s="310">
        <f t="shared" si="6"/>
        <v>387.6</v>
      </c>
      <c r="F49" s="274"/>
      <c r="G49" s="274"/>
      <c r="H49" s="274"/>
      <c r="J49" s="826" t="str">
        <f t="shared" si="8"/>
        <v>Spinach</v>
      </c>
      <c r="K49" s="827"/>
      <c r="L49" s="308">
        <f t="shared" si="9"/>
        <v>60</v>
      </c>
      <c r="M49" s="298">
        <f t="shared" si="10"/>
        <v>2</v>
      </c>
      <c r="O49" s="270">
        <f t="shared" si="11"/>
        <v>387.6</v>
      </c>
      <c r="P49" s="476">
        <f t="shared" si="12"/>
        <v>193.8</v>
      </c>
      <c r="Q49" s="272" t="s">
        <v>158</v>
      </c>
      <c r="R49" s="3"/>
      <c r="S49" s="296">
        <f t="shared" si="13"/>
        <v>2</v>
      </c>
      <c r="T49" s="303" t="s">
        <v>64</v>
      </c>
      <c r="V49" s="459" t="s">
        <v>98</v>
      </c>
      <c r="W49" s="555" t="s">
        <v>92</v>
      </c>
      <c r="X49" s="826" t="str">
        <f t="shared" si="27"/>
        <v>Spinach</v>
      </c>
      <c r="Y49" s="827"/>
      <c r="AB49" s="1">
        <f t="shared" si="14"/>
        <v>7</v>
      </c>
      <c r="AC49" s="477">
        <f t="shared" si="15"/>
        <v>6</v>
      </c>
      <c r="AD49" s="477" t="str">
        <f t="shared" si="16"/>
        <v/>
      </c>
      <c r="AE49" s="477" t="str">
        <f t="shared" si="17"/>
        <v/>
      </c>
      <c r="AF49" s="477" t="str">
        <f t="shared" si="18"/>
        <v/>
      </c>
      <c r="AG49" s="477" t="str">
        <f t="shared" si="19"/>
        <v/>
      </c>
      <c r="AH49" s="477" t="str">
        <f t="shared" si="20"/>
        <v/>
      </c>
      <c r="AI49" s="1">
        <f t="shared" si="21"/>
        <v>1</v>
      </c>
      <c r="AJ49">
        <f t="shared" si="22"/>
        <v>12</v>
      </c>
      <c r="AK49" t="str">
        <f t="shared" si="23"/>
        <v/>
      </c>
      <c r="AL49" t="str">
        <f t="shared" si="24"/>
        <v/>
      </c>
      <c r="AM49" t="str">
        <f t="shared" si="25"/>
        <v/>
      </c>
      <c r="AN49" t="str">
        <f t="shared" si="4"/>
        <v/>
      </c>
      <c r="AO49" t="str">
        <f t="shared" si="26"/>
        <v/>
      </c>
    </row>
    <row r="50" spans="1:41" ht="15" customHeight="1" x14ac:dyDescent="0.25">
      <c r="C50" s="870" t="str">
        <f t="shared" si="5"/>
        <v>Tomato</v>
      </c>
      <c r="D50" s="828"/>
      <c r="E50" s="311">
        <f t="shared" si="6"/>
        <v>0</v>
      </c>
      <c r="F50" s="275">
        <v>400</v>
      </c>
      <c r="G50" s="275">
        <v>800</v>
      </c>
      <c r="H50" s="275">
        <f>AVERAGE(F50:G50)</f>
        <v>600</v>
      </c>
      <c r="J50" s="870" t="str">
        <f t="shared" si="8"/>
        <v>Tomato</v>
      </c>
      <c r="K50" s="828"/>
      <c r="L50" s="309">
        <f t="shared" si="9"/>
        <v>0</v>
      </c>
      <c r="M50" s="299">
        <f t="shared" si="10"/>
        <v>0</v>
      </c>
      <c r="O50" s="271">
        <f t="shared" si="11"/>
        <v>0</v>
      </c>
      <c r="P50" s="479">
        <f t="shared" si="12"/>
        <v>0</v>
      </c>
      <c r="Q50" s="304" t="s">
        <v>158</v>
      </c>
      <c r="R50" s="5"/>
      <c r="S50" s="305">
        <f t="shared" si="13"/>
        <v>0</v>
      </c>
      <c r="T50" s="306" t="s">
        <v>64</v>
      </c>
      <c r="V50" s="460"/>
      <c r="W50" s="556"/>
      <c r="X50" s="870" t="str">
        <f t="shared" si="27"/>
        <v>Tomato</v>
      </c>
      <c r="Y50" s="828"/>
      <c r="AB50" s="1" t="str">
        <f t="shared" si="14"/>
        <v/>
      </c>
      <c r="AC50" s="477" t="str">
        <f t="shared" si="15"/>
        <v/>
      </c>
      <c r="AD50" s="477" t="str">
        <f t="shared" si="16"/>
        <v/>
      </c>
      <c r="AE50" s="477" t="str">
        <f t="shared" si="17"/>
        <v/>
      </c>
      <c r="AF50" s="477" t="str">
        <f t="shared" si="18"/>
        <v/>
      </c>
      <c r="AG50" s="477" t="str">
        <f t="shared" si="19"/>
        <v/>
      </c>
      <c r="AH50" s="477" t="str">
        <f t="shared" si="20"/>
        <v/>
      </c>
      <c r="AI50" s="1" t="str">
        <f t="shared" si="21"/>
        <v/>
      </c>
      <c r="AJ50" t="str">
        <f t="shared" si="22"/>
        <v/>
      </c>
      <c r="AK50" t="str">
        <f t="shared" si="23"/>
        <v/>
      </c>
      <c r="AL50" t="str">
        <f t="shared" si="24"/>
        <v/>
      </c>
      <c r="AM50" t="str">
        <f t="shared" si="25"/>
        <v/>
      </c>
      <c r="AN50" t="str">
        <f t="shared" si="4"/>
        <v/>
      </c>
      <c r="AO50" t="str">
        <f t="shared" si="26"/>
        <v/>
      </c>
    </row>
    <row r="51" spans="1:41" x14ac:dyDescent="0.25">
      <c r="C51" s="290"/>
      <c r="D51" s="290"/>
      <c r="E51" s="325"/>
      <c r="F51" s="326"/>
      <c r="G51" s="326"/>
      <c r="H51" s="326"/>
      <c r="J51" s="290"/>
      <c r="K51" s="290"/>
      <c r="L51" s="296"/>
      <c r="M51" s="296"/>
      <c r="O51" s="325"/>
      <c r="P51" s="327"/>
      <c r="Q51" s="272"/>
      <c r="R51" s="3"/>
      <c r="S51" s="296"/>
      <c r="T51" s="3"/>
      <c r="V51" s="328"/>
      <c r="W51" s="328"/>
      <c r="X51" s="313"/>
      <c r="AH51" s="477" t="str">
        <f>IF(S51&lt;6,"",IF(AG51="","",IF((AG51-1)&gt;=($AB51-$S51),IF((AG51-1)&lt;=0,AG51-1+12,AG51-1),"")))</f>
        <v/>
      </c>
    </row>
    <row r="52" spans="1:41" x14ac:dyDescent="0.25">
      <c r="C52" s="288" t="s">
        <v>163</v>
      </c>
      <c r="D52" s="288"/>
      <c r="E52" s="288"/>
      <c r="F52" s="288"/>
      <c r="G52" s="326"/>
      <c r="H52" s="326"/>
      <c r="J52" s="290"/>
      <c r="K52" s="290"/>
      <c r="L52" s="296"/>
      <c r="M52" s="296"/>
      <c r="O52" s="325"/>
      <c r="P52" s="327"/>
      <c r="Q52" s="272"/>
      <c r="R52" s="3"/>
      <c r="S52" s="296"/>
      <c r="T52" s="3"/>
      <c r="V52" s="328"/>
      <c r="W52" s="328"/>
      <c r="X52" s="313"/>
    </row>
    <row r="53" spans="1:41" hidden="1" x14ac:dyDescent="0.25">
      <c r="B53" s="832">
        <v>1</v>
      </c>
      <c r="C53" s="832"/>
      <c r="D53" s="832">
        <v>2</v>
      </c>
      <c r="E53" s="832"/>
      <c r="F53" s="832">
        <v>3</v>
      </c>
      <c r="G53" s="832"/>
      <c r="H53" s="832">
        <v>4</v>
      </c>
      <c r="I53" s="832"/>
      <c r="J53" s="832">
        <v>5</v>
      </c>
      <c r="K53" s="832"/>
      <c r="L53" s="832">
        <v>6</v>
      </c>
      <c r="M53" s="832"/>
      <c r="N53" s="832">
        <v>7</v>
      </c>
      <c r="O53" s="832"/>
      <c r="P53" s="832">
        <v>8</v>
      </c>
      <c r="Q53" s="832"/>
      <c r="R53" s="832">
        <v>9</v>
      </c>
      <c r="S53" s="832"/>
      <c r="T53" s="832">
        <v>10</v>
      </c>
      <c r="U53" s="832"/>
      <c r="V53" s="832">
        <v>11</v>
      </c>
      <c r="W53" s="832"/>
      <c r="X53" s="832">
        <v>12</v>
      </c>
      <c r="Y53" s="832"/>
    </row>
    <row r="54" spans="1:41" x14ac:dyDescent="0.25">
      <c r="B54" s="237"/>
      <c r="C54" s="237"/>
      <c r="D54" s="237"/>
      <c r="E54" s="237"/>
      <c r="F54" s="237"/>
      <c r="G54" s="237"/>
      <c r="H54" s="237"/>
      <c r="I54" s="237"/>
      <c r="J54" s="237"/>
      <c r="K54" s="237"/>
      <c r="L54" s="237"/>
      <c r="M54" s="237"/>
      <c r="N54" s="237"/>
      <c r="O54" s="237"/>
      <c r="P54" s="237"/>
      <c r="Q54" s="478"/>
      <c r="R54" s="478"/>
      <c r="S54" s="478"/>
      <c r="T54" s="478"/>
      <c r="U54" s="478"/>
      <c r="V54" s="478"/>
      <c r="W54" s="478"/>
      <c r="X54" s="478"/>
      <c r="Y54" s="478"/>
    </row>
    <row r="55" spans="1:41" x14ac:dyDescent="0.25">
      <c r="B55" s="835" t="s">
        <v>92</v>
      </c>
      <c r="C55" s="825"/>
      <c r="D55" s="835" t="s">
        <v>93</v>
      </c>
      <c r="E55" s="825"/>
      <c r="F55" s="835" t="s">
        <v>94</v>
      </c>
      <c r="G55" s="825"/>
      <c r="H55" s="835" t="s">
        <v>95</v>
      </c>
      <c r="I55" s="825"/>
      <c r="J55" s="835" t="s">
        <v>96</v>
      </c>
      <c r="K55" s="825"/>
      <c r="L55" s="835" t="s">
        <v>97</v>
      </c>
      <c r="M55" s="825"/>
      <c r="N55" s="835" t="s">
        <v>98</v>
      </c>
      <c r="O55" s="825"/>
      <c r="P55" s="835" t="s">
        <v>99</v>
      </c>
      <c r="Q55" s="830"/>
      <c r="R55" s="846" t="s">
        <v>100</v>
      </c>
      <c r="S55" s="830"/>
      <c r="T55" s="846" t="s">
        <v>101</v>
      </c>
      <c r="U55" s="830"/>
      <c r="V55" s="846" t="s">
        <v>102</v>
      </c>
      <c r="W55" s="830"/>
      <c r="X55" s="846" t="s">
        <v>103</v>
      </c>
      <c r="Y55" s="830"/>
    </row>
    <row r="56" spans="1:41" x14ac:dyDescent="0.25">
      <c r="A56" s="324" t="str">
        <f t="shared" ref="A56:A65" si="28">C25</f>
        <v>Beans</v>
      </c>
      <c r="B56" s="833" t="str">
        <f t="shared" ref="B56:B65" si="29">IF(ISNA(IF(MATCH(B$53,AB41:AQ41,0),P41,"")=TRUE),"",IF(MATCH(B$53,AB41:AQ41,0),P41,""))</f>
        <v/>
      </c>
      <c r="C56" s="834"/>
      <c r="D56" s="833" t="str">
        <f t="shared" ref="D56:D65" si="30">IF(ISNA(IF(MATCH(D$53,AB41:AQ41,0),P41,"")=TRUE),"",IF(MATCH(D$53,AB41:AQ41,0),P41,""))</f>
        <v/>
      </c>
      <c r="E56" s="834"/>
      <c r="F56" s="833" t="str">
        <f t="shared" ref="F56:F65" si="31">IF(ISNA(IF(MATCH(F$53,AB41:AQ41,0),P41,"")=TRUE),"",IF(MATCH(F$53,AB41:AQ41,0),P41,""))</f>
        <v/>
      </c>
      <c r="G56" s="834"/>
      <c r="H56" s="833" t="str">
        <f t="shared" ref="H56:H65" si="32">IF(ISNA(IF(MATCH(H$53,AB41:AQ41,0),P41,"")=TRUE),"",IF(MATCH(H$53,AB41:AQ41,0),P41,""))</f>
        <v/>
      </c>
      <c r="I56" s="834"/>
      <c r="J56" s="833" t="str">
        <f t="shared" ref="J56:J65" si="33">IF(ISNA(IF(MATCH(J$53,AB41:AQ41,0),P41,"")=TRUE),"",IF(MATCH(J$53,AB41:AQ41,0),P41,""))</f>
        <v/>
      </c>
      <c r="K56" s="834"/>
      <c r="L56" s="833" t="str">
        <f t="shared" ref="L56:L65" si="34">IF(ISNA(IF(MATCH(L$53,AB41:AQ41,0),P41,"")=TRUE),"",IF(MATCH(L$53,AB41:AQ41,0),P41,""))</f>
        <v/>
      </c>
      <c r="M56" s="834"/>
      <c r="N56" s="833" t="str">
        <f t="shared" ref="N56:N65" si="35">IF(ISNA(IF(MATCH(N$53,AB41:AQ41,0),P41,"")=TRUE),"",IF(MATCH(N$53,AB41:AQ41,0),P41,""))</f>
        <v/>
      </c>
      <c r="O56" s="834"/>
      <c r="P56" s="833" t="str">
        <f t="shared" ref="P56:P65" si="36">IF(ISNA(IF(MATCH(P$53,AB41:AQ41,0),P41,"")=TRUE),"",IF(MATCH(P$53,AB41:AQ41,0),P41,""))</f>
        <v/>
      </c>
      <c r="Q56" s="834"/>
      <c r="R56" s="833" t="str">
        <f t="shared" ref="R56:R65" si="37">IF(ISNA(IF(MATCH(R$53,AB41:AQ41,0),P41,"")=TRUE),"",IF(MATCH(R$53,AB41:AQ41,0),P41,""))</f>
        <v/>
      </c>
      <c r="S56" s="834"/>
      <c r="T56" s="833" t="str">
        <f t="shared" ref="T56:T65" si="38">IF(ISNA(IF(MATCH(T$53,AB41:AQ41,0),P41,"")=TRUE),"",IF(MATCH(T$53,AB41:AQ41,0),P41,""))</f>
        <v/>
      </c>
      <c r="U56" s="834"/>
      <c r="V56" s="833" t="str">
        <f t="shared" ref="V56:V65" si="39">IF(ISNA(IF(MATCH(V$53,AB41:AQ41,0),P41,"")=TRUE),"",IF(MATCH(V$53,AB41:AQ41,0),P41,""))</f>
        <v/>
      </c>
      <c r="W56" s="834"/>
      <c r="X56" s="833" t="str">
        <f t="shared" ref="X56:X65" si="40">IF(ISNA(IF(MATCH(X$53,AB41:AQ41,0),P41,"")=TRUE),"",IF(MATCH(X$53,AB41:AQ41,0),P41,""))</f>
        <v/>
      </c>
      <c r="Y56" s="834"/>
    </row>
    <row r="57" spans="1:41" x14ac:dyDescent="0.25">
      <c r="A57" s="324" t="str">
        <f t="shared" si="28"/>
        <v>Cabbage</v>
      </c>
      <c r="B57" s="833" t="str">
        <f t="shared" si="29"/>
        <v/>
      </c>
      <c r="C57" s="834"/>
      <c r="D57" s="833" t="str">
        <f t="shared" si="30"/>
        <v/>
      </c>
      <c r="E57" s="834"/>
      <c r="F57" s="833" t="str">
        <f t="shared" si="31"/>
        <v/>
      </c>
      <c r="G57" s="834"/>
      <c r="H57" s="833" t="str">
        <f t="shared" si="32"/>
        <v/>
      </c>
      <c r="I57" s="834"/>
      <c r="J57" s="833" t="str">
        <f t="shared" si="33"/>
        <v/>
      </c>
      <c r="K57" s="834"/>
      <c r="L57" s="833" t="str">
        <f t="shared" si="34"/>
        <v/>
      </c>
      <c r="M57" s="834"/>
      <c r="N57" s="833" t="str">
        <f t="shared" si="35"/>
        <v/>
      </c>
      <c r="O57" s="834"/>
      <c r="P57" s="833" t="str">
        <f t="shared" si="36"/>
        <v/>
      </c>
      <c r="Q57" s="834"/>
      <c r="R57" s="833" t="str">
        <f t="shared" si="37"/>
        <v/>
      </c>
      <c r="S57" s="834"/>
      <c r="T57" s="833" t="str">
        <f t="shared" si="38"/>
        <v/>
      </c>
      <c r="U57" s="834"/>
      <c r="V57" s="833" t="str">
        <f t="shared" si="39"/>
        <v/>
      </c>
      <c r="W57" s="834"/>
      <c r="X57" s="833" t="str">
        <f t="shared" si="40"/>
        <v/>
      </c>
      <c r="Y57" s="834"/>
    </row>
    <row r="58" spans="1:41" x14ac:dyDescent="0.25">
      <c r="A58" s="324" t="str">
        <f t="shared" si="28"/>
        <v>Groundnut</v>
      </c>
      <c r="B58" s="833" t="str">
        <f t="shared" si="29"/>
        <v/>
      </c>
      <c r="C58" s="834"/>
      <c r="D58" s="833" t="str">
        <f t="shared" si="30"/>
        <v/>
      </c>
      <c r="E58" s="834"/>
      <c r="F58" s="833" t="str">
        <f t="shared" si="31"/>
        <v/>
      </c>
      <c r="G58" s="834"/>
      <c r="H58" s="833" t="str">
        <f t="shared" si="32"/>
        <v/>
      </c>
      <c r="I58" s="834"/>
      <c r="J58" s="833" t="str">
        <f t="shared" si="33"/>
        <v/>
      </c>
      <c r="K58" s="834"/>
      <c r="L58" s="833" t="str">
        <f t="shared" si="34"/>
        <v/>
      </c>
      <c r="M58" s="834"/>
      <c r="N58" s="833" t="str">
        <f t="shared" si="35"/>
        <v/>
      </c>
      <c r="O58" s="834"/>
      <c r="P58" s="833" t="str">
        <f t="shared" si="36"/>
        <v/>
      </c>
      <c r="Q58" s="834"/>
      <c r="R58" s="833" t="str">
        <f t="shared" si="37"/>
        <v/>
      </c>
      <c r="S58" s="834"/>
      <c r="T58" s="833" t="str">
        <f t="shared" si="38"/>
        <v/>
      </c>
      <c r="U58" s="834"/>
      <c r="V58" s="833" t="str">
        <f t="shared" si="39"/>
        <v/>
      </c>
      <c r="W58" s="834"/>
      <c r="X58" s="833" t="str">
        <f t="shared" si="40"/>
        <v/>
      </c>
      <c r="Y58" s="834"/>
    </row>
    <row r="59" spans="1:41" x14ac:dyDescent="0.25">
      <c r="A59" s="324" t="str">
        <f t="shared" si="28"/>
        <v>Maize</v>
      </c>
      <c r="B59" s="833">
        <f t="shared" si="29"/>
        <v>212.765625</v>
      </c>
      <c r="C59" s="834"/>
      <c r="D59" s="833" t="str">
        <f t="shared" si="30"/>
        <v/>
      </c>
      <c r="E59" s="834"/>
      <c r="F59" s="833" t="str">
        <f t="shared" si="31"/>
        <v/>
      </c>
      <c r="G59" s="834"/>
      <c r="H59" s="833" t="str">
        <f t="shared" si="32"/>
        <v/>
      </c>
      <c r="I59" s="834"/>
      <c r="J59" s="833">
        <f t="shared" si="33"/>
        <v>212.765625</v>
      </c>
      <c r="K59" s="834"/>
      <c r="L59" s="833">
        <f t="shared" si="34"/>
        <v>212.765625</v>
      </c>
      <c r="M59" s="834"/>
      <c r="N59" s="833">
        <f t="shared" si="35"/>
        <v>212.765625</v>
      </c>
      <c r="O59" s="834"/>
      <c r="P59" s="833" t="str">
        <f t="shared" si="36"/>
        <v/>
      </c>
      <c r="Q59" s="834"/>
      <c r="R59" s="833" t="str">
        <f t="shared" si="37"/>
        <v/>
      </c>
      <c r="S59" s="834"/>
      <c r="T59" s="833" t="str">
        <f t="shared" si="38"/>
        <v/>
      </c>
      <c r="U59" s="834"/>
      <c r="V59" s="833">
        <f t="shared" si="39"/>
        <v>212.765625</v>
      </c>
      <c r="W59" s="834"/>
      <c r="X59" s="833">
        <f t="shared" si="40"/>
        <v>212.765625</v>
      </c>
      <c r="Y59" s="834"/>
    </row>
    <row r="60" spans="1:41" x14ac:dyDescent="0.25">
      <c r="A60" s="324" t="str">
        <f t="shared" si="28"/>
        <v>Melon</v>
      </c>
      <c r="B60" s="833" t="str">
        <f t="shared" si="29"/>
        <v/>
      </c>
      <c r="C60" s="834"/>
      <c r="D60" s="833" t="str">
        <f t="shared" si="30"/>
        <v/>
      </c>
      <c r="E60" s="834"/>
      <c r="F60" s="833" t="str">
        <f t="shared" si="31"/>
        <v/>
      </c>
      <c r="G60" s="834"/>
      <c r="H60" s="833" t="str">
        <f t="shared" si="32"/>
        <v/>
      </c>
      <c r="I60" s="834"/>
      <c r="J60" s="833" t="str">
        <f t="shared" si="33"/>
        <v/>
      </c>
      <c r="K60" s="834"/>
      <c r="L60" s="833" t="str">
        <f t="shared" si="34"/>
        <v/>
      </c>
      <c r="M60" s="834"/>
      <c r="N60" s="833" t="str">
        <f t="shared" si="35"/>
        <v/>
      </c>
      <c r="O60" s="834"/>
      <c r="P60" s="833" t="str">
        <f t="shared" si="36"/>
        <v/>
      </c>
      <c r="Q60" s="834"/>
      <c r="R60" s="833" t="str">
        <f t="shared" si="37"/>
        <v/>
      </c>
      <c r="S60" s="834"/>
      <c r="T60" s="833" t="str">
        <f t="shared" si="38"/>
        <v/>
      </c>
      <c r="U60" s="834"/>
      <c r="V60" s="833" t="str">
        <f t="shared" si="39"/>
        <v/>
      </c>
      <c r="W60" s="834"/>
      <c r="X60" s="833" t="str">
        <f t="shared" si="40"/>
        <v/>
      </c>
      <c r="Y60" s="834"/>
    </row>
    <row r="61" spans="1:41" x14ac:dyDescent="0.25">
      <c r="A61" s="324" t="str">
        <f t="shared" si="28"/>
        <v>Millet</v>
      </c>
      <c r="B61" s="833" t="str">
        <f t="shared" si="29"/>
        <v/>
      </c>
      <c r="C61" s="834"/>
      <c r="D61" s="833" t="str">
        <f t="shared" si="30"/>
        <v/>
      </c>
      <c r="E61" s="834"/>
      <c r="F61" s="833" t="str">
        <f t="shared" si="31"/>
        <v/>
      </c>
      <c r="G61" s="834"/>
      <c r="H61" s="833" t="str">
        <f t="shared" si="32"/>
        <v/>
      </c>
      <c r="I61" s="834"/>
      <c r="J61" s="833" t="str">
        <f t="shared" si="33"/>
        <v/>
      </c>
      <c r="K61" s="834"/>
      <c r="L61" s="833" t="str">
        <f t="shared" si="34"/>
        <v/>
      </c>
      <c r="M61" s="834"/>
      <c r="N61" s="833" t="str">
        <f t="shared" si="35"/>
        <v/>
      </c>
      <c r="O61" s="834"/>
      <c r="P61" s="833" t="str">
        <f t="shared" si="36"/>
        <v/>
      </c>
      <c r="Q61" s="834"/>
      <c r="R61" s="833" t="str">
        <f t="shared" si="37"/>
        <v/>
      </c>
      <c r="S61" s="834"/>
      <c r="T61" s="833" t="str">
        <f t="shared" si="38"/>
        <v/>
      </c>
      <c r="U61" s="834"/>
      <c r="V61" s="833" t="str">
        <f t="shared" si="39"/>
        <v/>
      </c>
      <c r="W61" s="834"/>
      <c r="X61" s="833" t="str">
        <f t="shared" si="40"/>
        <v/>
      </c>
      <c r="Y61" s="834"/>
    </row>
    <row r="62" spans="1:41" x14ac:dyDescent="0.25">
      <c r="A62" s="324" t="str">
        <f t="shared" si="28"/>
        <v>Onion dry</v>
      </c>
      <c r="B62" s="833" t="str">
        <f t="shared" si="29"/>
        <v/>
      </c>
      <c r="C62" s="834"/>
      <c r="D62" s="833" t="str">
        <f t="shared" si="30"/>
        <v/>
      </c>
      <c r="E62" s="834"/>
      <c r="F62" s="833" t="str">
        <f t="shared" si="31"/>
        <v/>
      </c>
      <c r="G62" s="834"/>
      <c r="H62" s="833" t="str">
        <f t="shared" si="32"/>
        <v/>
      </c>
      <c r="I62" s="834"/>
      <c r="J62" s="833" t="str">
        <f t="shared" si="33"/>
        <v/>
      </c>
      <c r="K62" s="834"/>
      <c r="L62" s="833" t="str">
        <f t="shared" si="34"/>
        <v/>
      </c>
      <c r="M62" s="834"/>
      <c r="N62" s="833" t="str">
        <f t="shared" si="35"/>
        <v/>
      </c>
      <c r="O62" s="834"/>
      <c r="P62" s="833" t="str">
        <f t="shared" si="36"/>
        <v/>
      </c>
      <c r="Q62" s="834"/>
      <c r="R62" s="833" t="str">
        <f t="shared" si="37"/>
        <v/>
      </c>
      <c r="S62" s="834"/>
      <c r="T62" s="833" t="str">
        <f t="shared" si="38"/>
        <v/>
      </c>
      <c r="U62" s="834"/>
      <c r="V62" s="833" t="str">
        <f t="shared" si="39"/>
        <v/>
      </c>
      <c r="W62" s="834"/>
      <c r="X62" s="833" t="str">
        <f t="shared" si="40"/>
        <v/>
      </c>
      <c r="Y62" s="834"/>
    </row>
    <row r="63" spans="1:41" x14ac:dyDescent="0.25">
      <c r="A63" s="324" t="str">
        <f t="shared" si="28"/>
        <v>Sorghum</v>
      </c>
      <c r="B63" s="833">
        <f t="shared" si="29"/>
        <v>197.625</v>
      </c>
      <c r="C63" s="834"/>
      <c r="D63" s="833" t="str">
        <f t="shared" si="30"/>
        <v/>
      </c>
      <c r="E63" s="834"/>
      <c r="F63" s="833" t="str">
        <f t="shared" si="31"/>
        <v/>
      </c>
      <c r="G63" s="834"/>
      <c r="H63" s="833">
        <f t="shared" si="32"/>
        <v>197.625</v>
      </c>
      <c r="I63" s="834"/>
      <c r="J63" s="833">
        <f t="shared" si="33"/>
        <v>197.625</v>
      </c>
      <c r="K63" s="834"/>
      <c r="L63" s="833">
        <f t="shared" si="34"/>
        <v>197.625</v>
      </c>
      <c r="M63" s="834"/>
      <c r="N63" s="833">
        <f t="shared" si="35"/>
        <v>197.625</v>
      </c>
      <c r="O63" s="834"/>
      <c r="P63" s="833" t="str">
        <f t="shared" si="36"/>
        <v/>
      </c>
      <c r="Q63" s="834"/>
      <c r="R63" s="833" t="str">
        <f t="shared" si="37"/>
        <v/>
      </c>
      <c r="S63" s="834"/>
      <c r="T63" s="833">
        <f t="shared" si="38"/>
        <v>197.625</v>
      </c>
      <c r="U63" s="834"/>
      <c r="V63" s="833">
        <f t="shared" si="39"/>
        <v>197.625</v>
      </c>
      <c r="W63" s="834"/>
      <c r="X63" s="833">
        <f t="shared" si="40"/>
        <v>197.625</v>
      </c>
      <c r="Y63" s="834"/>
    </row>
    <row r="64" spans="1:41" x14ac:dyDescent="0.25">
      <c r="A64" s="324" t="str">
        <f t="shared" si="28"/>
        <v>Spinach</v>
      </c>
      <c r="B64" s="833">
        <f t="shared" si="29"/>
        <v>193.8</v>
      </c>
      <c r="C64" s="834"/>
      <c r="D64" s="833" t="str">
        <f t="shared" si="30"/>
        <v/>
      </c>
      <c r="E64" s="834"/>
      <c r="F64" s="833" t="str">
        <f t="shared" si="31"/>
        <v/>
      </c>
      <c r="G64" s="834"/>
      <c r="H64" s="833" t="str">
        <f t="shared" si="32"/>
        <v/>
      </c>
      <c r="I64" s="834"/>
      <c r="J64" s="833" t="str">
        <f t="shared" si="33"/>
        <v/>
      </c>
      <c r="K64" s="834"/>
      <c r="L64" s="833">
        <f t="shared" si="34"/>
        <v>193.8</v>
      </c>
      <c r="M64" s="834"/>
      <c r="N64" s="833">
        <f t="shared" si="35"/>
        <v>193.8</v>
      </c>
      <c r="O64" s="834"/>
      <c r="P64" s="833" t="str">
        <f t="shared" si="36"/>
        <v/>
      </c>
      <c r="Q64" s="834"/>
      <c r="R64" s="833" t="str">
        <f t="shared" si="37"/>
        <v/>
      </c>
      <c r="S64" s="834"/>
      <c r="T64" s="833" t="str">
        <f t="shared" si="38"/>
        <v/>
      </c>
      <c r="U64" s="834"/>
      <c r="V64" s="833" t="str">
        <f t="shared" si="39"/>
        <v/>
      </c>
      <c r="W64" s="834"/>
      <c r="X64" s="833">
        <f t="shared" si="40"/>
        <v>193.8</v>
      </c>
      <c r="Y64" s="834"/>
    </row>
    <row r="65" spans="1:25" x14ac:dyDescent="0.25">
      <c r="A65" s="324" t="str">
        <f t="shared" si="28"/>
        <v>Tomato</v>
      </c>
      <c r="B65" s="833" t="str">
        <f t="shared" si="29"/>
        <v/>
      </c>
      <c r="C65" s="834"/>
      <c r="D65" s="833" t="str">
        <f t="shared" si="30"/>
        <v/>
      </c>
      <c r="E65" s="834"/>
      <c r="F65" s="833" t="str">
        <f t="shared" si="31"/>
        <v/>
      </c>
      <c r="G65" s="834"/>
      <c r="H65" s="833" t="str">
        <f t="shared" si="32"/>
        <v/>
      </c>
      <c r="I65" s="834"/>
      <c r="J65" s="833" t="str">
        <f t="shared" si="33"/>
        <v/>
      </c>
      <c r="K65" s="834"/>
      <c r="L65" s="833" t="str">
        <f t="shared" si="34"/>
        <v/>
      </c>
      <c r="M65" s="834"/>
      <c r="N65" s="833" t="str">
        <f t="shared" si="35"/>
        <v/>
      </c>
      <c r="O65" s="834"/>
      <c r="P65" s="833" t="str">
        <f t="shared" si="36"/>
        <v/>
      </c>
      <c r="Q65" s="834"/>
      <c r="R65" s="833" t="str">
        <f t="shared" si="37"/>
        <v/>
      </c>
      <c r="S65" s="834"/>
      <c r="T65" s="833" t="str">
        <f t="shared" si="38"/>
        <v/>
      </c>
      <c r="U65" s="834"/>
      <c r="V65" s="833" t="str">
        <f t="shared" si="39"/>
        <v/>
      </c>
      <c r="W65" s="834"/>
      <c r="X65" s="833" t="str">
        <f t="shared" si="40"/>
        <v/>
      </c>
      <c r="Y65" s="834"/>
    </row>
    <row r="67" spans="1:25" s="253" customFormat="1" x14ac:dyDescent="0.25">
      <c r="B67" s="253" t="s">
        <v>137</v>
      </c>
    </row>
    <row r="68" spans="1:25" s="253" customFormat="1" x14ac:dyDescent="0.25"/>
    <row r="69" spans="1:25" s="7" customFormat="1" x14ac:dyDescent="0.25">
      <c r="P69" s="549" t="s">
        <v>271</v>
      </c>
      <c r="Q69" s="549"/>
      <c r="R69" s="549"/>
    </row>
    <row r="71" spans="1:25" x14ac:dyDescent="0.25">
      <c r="C71" t="s">
        <v>126</v>
      </c>
      <c r="F71" s="277">
        <f>IF(N71=14,SUM(B97:Y97),SUM(B94:Y94))</f>
        <v>383.24074074074076</v>
      </c>
      <c r="G71" t="s">
        <v>87</v>
      </c>
      <c r="I71" s="277">
        <f>F71/12</f>
        <v>31.936728395061731</v>
      </c>
      <c r="J71" t="s">
        <v>125</v>
      </c>
      <c r="M71" s="6" t="s">
        <v>270</v>
      </c>
      <c r="N71" s="474">
        <v>7</v>
      </c>
      <c r="O71">
        <v>1</v>
      </c>
      <c r="P71" t="s">
        <v>215</v>
      </c>
      <c r="Q71">
        <v>7</v>
      </c>
      <c r="R71" t="s">
        <v>219</v>
      </c>
      <c r="S71" s="250"/>
      <c r="T71" s="250">
        <v>13</v>
      </c>
      <c r="U71" s="435" t="s">
        <v>229</v>
      </c>
      <c r="V71" s="250"/>
      <c r="W71" s="250"/>
    </row>
    <row r="72" spans="1:25" x14ac:dyDescent="0.25">
      <c r="F72" s="3"/>
      <c r="O72">
        <v>2</v>
      </c>
      <c r="P72" t="s">
        <v>223</v>
      </c>
      <c r="Q72">
        <v>8</v>
      </c>
      <c r="R72" s="250" t="s">
        <v>227</v>
      </c>
      <c r="S72" s="250"/>
      <c r="W72" s="250"/>
    </row>
    <row r="73" spans="1:25" x14ac:dyDescent="0.25">
      <c r="C73" t="s">
        <v>127</v>
      </c>
      <c r="F73" s="277">
        <f>I73*12</f>
        <v>109.94444444444446</v>
      </c>
      <c r="G73" t="s">
        <v>87</v>
      </c>
      <c r="I73" s="233">
        <f>IF(I71&lt;75,0.6*I71-10,0.8*I71-25)</f>
        <v>9.1620370370370381</v>
      </c>
      <c r="J73" t="s">
        <v>125</v>
      </c>
      <c r="K73" s="234"/>
      <c r="L73" s="234"/>
      <c r="M73" s="234"/>
      <c r="N73" s="234"/>
      <c r="O73">
        <v>3</v>
      </c>
      <c r="P73" s="234" t="s">
        <v>224</v>
      </c>
      <c r="Q73">
        <v>9</v>
      </c>
      <c r="R73" t="s">
        <v>217</v>
      </c>
      <c r="T73" s="250">
        <v>14</v>
      </c>
      <c r="U73" s="250" t="s">
        <v>268</v>
      </c>
      <c r="V73" s="250"/>
    </row>
    <row r="74" spans="1:25" x14ac:dyDescent="0.25">
      <c r="O74">
        <v>4</v>
      </c>
      <c r="P74" t="s">
        <v>225</v>
      </c>
      <c r="Q74">
        <v>10</v>
      </c>
      <c r="R74" t="s">
        <v>228</v>
      </c>
    </row>
    <row r="75" spans="1:25" x14ac:dyDescent="0.25">
      <c r="I75" s="877"/>
      <c r="J75" s="877"/>
      <c r="K75" s="3"/>
      <c r="L75" s="3"/>
      <c r="O75">
        <v>5</v>
      </c>
      <c r="P75" t="s">
        <v>226</v>
      </c>
      <c r="Q75">
        <v>11</v>
      </c>
      <c r="R75" t="s">
        <v>115</v>
      </c>
    </row>
    <row r="76" spans="1:25" x14ac:dyDescent="0.25">
      <c r="O76">
        <v>6</v>
      </c>
      <c r="P76" t="s">
        <v>218</v>
      </c>
      <c r="Q76">
        <v>12</v>
      </c>
      <c r="R76" t="s">
        <v>216</v>
      </c>
    </row>
    <row r="78" spans="1:25" s="7" customFormat="1" x14ac:dyDescent="0.25">
      <c r="C78" s="288" t="s">
        <v>148</v>
      </c>
      <c r="D78" s="288"/>
      <c r="E78" s="288"/>
      <c r="F78" s="288"/>
    </row>
    <row r="79" spans="1:25" ht="15" customHeight="1" x14ac:dyDescent="0.25">
      <c r="B79" s="835" t="s">
        <v>92</v>
      </c>
      <c r="C79" s="825"/>
      <c r="D79" s="835" t="s">
        <v>93</v>
      </c>
      <c r="E79" s="825"/>
      <c r="F79" s="835" t="s">
        <v>94</v>
      </c>
      <c r="G79" s="825"/>
      <c r="H79" s="878" t="s">
        <v>95</v>
      </c>
      <c r="I79" s="879"/>
      <c r="J79" s="835" t="s">
        <v>96</v>
      </c>
      <c r="K79" s="825"/>
      <c r="L79" s="835" t="s">
        <v>97</v>
      </c>
      <c r="M79" s="825"/>
      <c r="N79" s="835" t="s">
        <v>98</v>
      </c>
      <c r="O79" s="825"/>
      <c r="P79" s="835" t="s">
        <v>99</v>
      </c>
      <c r="Q79" s="830"/>
      <c r="R79" s="846" t="s">
        <v>100</v>
      </c>
      <c r="S79" s="830"/>
      <c r="T79" s="846" t="s">
        <v>101</v>
      </c>
      <c r="U79" s="830"/>
      <c r="V79" s="846" t="s">
        <v>102</v>
      </c>
      <c r="W79" s="830"/>
      <c r="X79" s="846" t="s">
        <v>103</v>
      </c>
      <c r="Y79" s="830"/>
    </row>
    <row r="80" spans="1:25" ht="15" hidden="1" customHeight="1" x14ac:dyDescent="0.25">
      <c r="B80" s="282"/>
      <c r="C80" s="283"/>
      <c r="D80" s="283"/>
      <c r="E80" s="280" t="s">
        <v>47</v>
      </c>
      <c r="F80" s="280" t="s">
        <v>147</v>
      </c>
      <c r="G80" s="280" t="s">
        <v>48</v>
      </c>
      <c r="H80" s="280" t="s">
        <v>49</v>
      </c>
      <c r="I80" s="280" t="s">
        <v>50</v>
      </c>
      <c r="J80" s="280" t="s">
        <v>51</v>
      </c>
      <c r="K80" s="280" t="s">
        <v>52</v>
      </c>
      <c r="L80" s="280" t="s">
        <v>53</v>
      </c>
      <c r="M80" s="280" t="s">
        <v>54</v>
      </c>
      <c r="N80" s="280" t="s">
        <v>55</v>
      </c>
      <c r="O80" s="280" t="s">
        <v>56</v>
      </c>
      <c r="P80" s="281" t="s">
        <v>57</v>
      </c>
      <c r="Q80" s="279"/>
      <c r="R80" s="279"/>
      <c r="S80" s="279"/>
      <c r="T80" s="279"/>
      <c r="U80" s="279"/>
      <c r="V80" s="279"/>
      <c r="W80" s="279"/>
      <c r="X80" s="279"/>
      <c r="Y80" s="287"/>
    </row>
    <row r="81" spans="1:25" ht="15" hidden="1" customHeight="1" x14ac:dyDescent="0.25">
      <c r="B81" s="439">
        <f t="shared" ref="B81:C86" si="41">O71</f>
        <v>1</v>
      </c>
      <c r="C81" s="871" t="str">
        <f t="shared" si="41"/>
        <v>Garissa</v>
      </c>
      <c r="D81" s="872"/>
      <c r="E81" s="284">
        <v>11.629032258064516</v>
      </c>
      <c r="F81" s="284">
        <v>5.274193548387097</v>
      </c>
      <c r="G81" s="284">
        <v>36.064516129032256</v>
      </c>
      <c r="H81" s="284">
        <v>70.629032258064512</v>
      </c>
      <c r="I81" s="284">
        <v>16.516129032258064</v>
      </c>
      <c r="J81" s="284">
        <v>5.064516129032258</v>
      </c>
      <c r="K81" s="284">
        <v>2.403225806451613</v>
      </c>
      <c r="L81" s="284">
        <v>6.209677419354839</v>
      </c>
      <c r="M81" s="284">
        <v>7.306451612903226</v>
      </c>
      <c r="N81" s="284">
        <v>27.596774193548388</v>
      </c>
      <c r="O81" s="284">
        <v>84.112903225806448</v>
      </c>
      <c r="P81" s="285">
        <v>57.064516129032256</v>
      </c>
      <c r="Q81" s="279"/>
      <c r="R81" s="279"/>
      <c r="S81" s="279"/>
      <c r="T81" s="279"/>
      <c r="U81" s="279"/>
      <c r="V81" s="279"/>
      <c r="W81" s="279"/>
      <c r="X81" s="279"/>
      <c r="Y81" s="287"/>
    </row>
    <row r="82" spans="1:25" ht="15" hidden="1" customHeight="1" x14ac:dyDescent="0.25">
      <c r="B82" s="439">
        <f t="shared" si="41"/>
        <v>2</v>
      </c>
      <c r="C82" s="871" t="str">
        <f t="shared" si="41"/>
        <v>J.K.I.A.</v>
      </c>
      <c r="D82" s="872"/>
      <c r="E82" s="284">
        <v>27</v>
      </c>
      <c r="F82" s="284">
        <v>34</v>
      </c>
      <c r="G82" s="284">
        <v>68.583333333333329</v>
      </c>
      <c r="H82" s="284">
        <v>157.91666666666666</v>
      </c>
      <c r="I82" s="284">
        <v>112.91666666666667</v>
      </c>
      <c r="J82" s="284">
        <v>20.916666666666668</v>
      </c>
      <c r="K82" s="284">
        <v>9.3333333333333339</v>
      </c>
      <c r="L82" s="284">
        <v>17.75</v>
      </c>
      <c r="M82" s="284">
        <v>13.416666666666666</v>
      </c>
      <c r="N82" s="284">
        <v>52.166666666666664</v>
      </c>
      <c r="O82" s="284">
        <v>99.666666666666671</v>
      </c>
      <c r="P82" s="285">
        <v>86.75</v>
      </c>
      <c r="Q82" s="279"/>
      <c r="R82" s="279"/>
      <c r="S82" s="279"/>
      <c r="T82" s="279"/>
      <c r="U82" s="279"/>
      <c r="V82" s="279"/>
      <c r="W82" s="279"/>
      <c r="X82" s="279"/>
      <c r="Y82" s="287"/>
    </row>
    <row r="83" spans="1:25" ht="15" hidden="1" customHeight="1" x14ac:dyDescent="0.25">
      <c r="B83" s="439">
        <f t="shared" si="41"/>
        <v>3</v>
      </c>
      <c r="C83" s="871" t="str">
        <f t="shared" si="41"/>
        <v>Kapoeta</v>
      </c>
      <c r="D83" s="872"/>
      <c r="E83" s="284">
        <v>5.8723404255319149</v>
      </c>
      <c r="F83" s="284">
        <v>18.361702127659573</v>
      </c>
      <c r="G83" s="284">
        <v>48.48936170212766</v>
      </c>
      <c r="H83" s="284">
        <v>69.808510638297875</v>
      </c>
      <c r="I83" s="284">
        <v>984.85106382978722</v>
      </c>
      <c r="J83" s="284">
        <v>289.7659574468085</v>
      </c>
      <c r="K83" s="284">
        <v>116.47826086956522</v>
      </c>
      <c r="L83" s="284">
        <v>2248.5531914893618</v>
      </c>
      <c r="M83" s="284">
        <v>79.638297872340431</v>
      </c>
      <c r="N83" s="284">
        <v>61.978723404255319</v>
      </c>
      <c r="O83" s="284">
        <v>46.127659574468083</v>
      </c>
      <c r="P83" s="285">
        <v>21.468085106382979</v>
      </c>
      <c r="Q83" s="279"/>
      <c r="R83" s="279"/>
      <c r="S83" s="279"/>
      <c r="T83" s="279"/>
      <c r="U83" s="279"/>
      <c r="V83" s="279"/>
      <c r="W83" s="279"/>
      <c r="X83" s="279"/>
      <c r="Y83" s="287"/>
    </row>
    <row r="84" spans="1:25" ht="15" hidden="1" customHeight="1" x14ac:dyDescent="0.25">
      <c r="B84" s="439">
        <f t="shared" si="41"/>
        <v>4</v>
      </c>
      <c r="C84" s="871" t="str">
        <f t="shared" si="41"/>
        <v>Katakwi</v>
      </c>
      <c r="D84" s="872"/>
      <c r="E84" s="284">
        <v>19.537037037037038</v>
      </c>
      <c r="F84" s="284">
        <v>36.481481481481481</v>
      </c>
      <c r="G84" s="284">
        <v>74.962962962962962</v>
      </c>
      <c r="H84" s="284">
        <v>130.55555555555554</v>
      </c>
      <c r="I84" s="284">
        <v>152.03703703703704</v>
      </c>
      <c r="J84" s="284">
        <v>110.57407407407408</v>
      </c>
      <c r="K84" s="284">
        <v>131.66666666666666</v>
      </c>
      <c r="L84" s="284">
        <v>149.90740740740742</v>
      </c>
      <c r="M84" s="284">
        <v>109.24074074074075</v>
      </c>
      <c r="N84" s="284">
        <v>87.037037037037038</v>
      </c>
      <c r="O84" s="284">
        <v>61.407407407407405</v>
      </c>
      <c r="P84" s="285">
        <v>30.555555555555557</v>
      </c>
      <c r="Q84" s="279"/>
      <c r="R84" s="279"/>
      <c r="S84" s="279"/>
      <c r="T84" s="279"/>
      <c r="U84" s="279"/>
      <c r="V84" s="279"/>
      <c r="W84" s="279"/>
      <c r="X84" s="279"/>
      <c r="Y84" s="287"/>
    </row>
    <row r="85" spans="1:25" ht="15" hidden="1" customHeight="1" x14ac:dyDescent="0.25">
      <c r="B85" s="439">
        <f t="shared" si="41"/>
        <v>5</v>
      </c>
      <c r="C85" s="871" t="str">
        <f t="shared" si="41"/>
        <v>Lamu</v>
      </c>
      <c r="D85" s="872"/>
      <c r="E85" s="284">
        <v>5.658823529411765</v>
      </c>
      <c r="F85" s="284">
        <v>2.8235294117647061</v>
      </c>
      <c r="G85" s="284">
        <v>25.882352941176471</v>
      </c>
      <c r="H85" s="284">
        <v>132.83529411764707</v>
      </c>
      <c r="I85" s="284">
        <v>346.09411764705885</v>
      </c>
      <c r="J85" s="284">
        <v>161.47058823529412</v>
      </c>
      <c r="K85" s="284">
        <v>76.435294117647061</v>
      </c>
      <c r="L85" s="284">
        <v>42.211764705882352</v>
      </c>
      <c r="M85" s="284">
        <v>39.070588235294117</v>
      </c>
      <c r="N85" s="284">
        <v>39.329411764705881</v>
      </c>
      <c r="O85" s="284">
        <v>38.305882352941175</v>
      </c>
      <c r="P85" s="285">
        <v>27.91764705882353</v>
      </c>
      <c r="Q85" s="279"/>
      <c r="R85" s="279"/>
      <c r="S85" s="279"/>
      <c r="T85" s="279"/>
      <c r="U85" s="279"/>
      <c r="V85" s="279"/>
      <c r="W85" s="279"/>
      <c r="X85" s="279"/>
      <c r="Y85" s="287"/>
    </row>
    <row r="86" spans="1:25" ht="15" hidden="1" customHeight="1" x14ac:dyDescent="0.25">
      <c r="B86" s="439">
        <f t="shared" si="41"/>
        <v>6</v>
      </c>
      <c r="C86" s="871" t="str">
        <f t="shared" si="41"/>
        <v>Lodwar</v>
      </c>
      <c r="D86" s="872"/>
      <c r="E86" s="284">
        <v>7.7397260273972606</v>
      </c>
      <c r="F86" s="284">
        <v>7.7945205479452051</v>
      </c>
      <c r="G86" s="284">
        <v>21.835616438356166</v>
      </c>
      <c r="H86" s="284">
        <v>47.739726027397261</v>
      </c>
      <c r="I86" s="284">
        <v>27.383561643835616</v>
      </c>
      <c r="J86" s="284">
        <v>8.1369863013698627</v>
      </c>
      <c r="K86" s="284">
        <v>16.205479452054796</v>
      </c>
      <c r="L86" s="284">
        <v>9.205479452054794</v>
      </c>
      <c r="M86" s="284">
        <v>4.7534246575342465</v>
      </c>
      <c r="N86" s="284">
        <v>7.602739726027397</v>
      </c>
      <c r="O86" s="284">
        <v>15.972602739726028</v>
      </c>
      <c r="P86" s="285">
        <v>11.616438356164384</v>
      </c>
      <c r="Q86" s="279"/>
      <c r="R86" s="279"/>
      <c r="S86" s="279"/>
      <c r="T86" s="279"/>
      <c r="U86" s="279"/>
      <c r="V86" s="279"/>
      <c r="W86" s="279"/>
      <c r="X86" s="279"/>
      <c r="Y86" s="287"/>
    </row>
    <row r="87" spans="1:25" ht="15" hidden="1" customHeight="1" x14ac:dyDescent="0.25">
      <c r="B87" s="439">
        <f t="shared" ref="B87:C92" si="42">Q71</f>
        <v>7</v>
      </c>
      <c r="C87" s="871" t="str">
        <f t="shared" si="42"/>
        <v>Lokitaung</v>
      </c>
      <c r="D87" s="872"/>
      <c r="E87" s="284">
        <v>10.777777777777779</v>
      </c>
      <c r="F87" s="284">
        <v>24.518518518518519</v>
      </c>
      <c r="G87" s="284">
        <v>47.629629629629626</v>
      </c>
      <c r="H87" s="284">
        <v>107.12962962962963</v>
      </c>
      <c r="I87" s="284">
        <v>46.444444444444443</v>
      </c>
      <c r="J87" s="284">
        <v>19.12962962962963</v>
      </c>
      <c r="K87" s="284">
        <v>28.37037037037037</v>
      </c>
      <c r="L87" s="284">
        <v>14.314814814814815</v>
      </c>
      <c r="M87" s="284">
        <v>11.796296296296296</v>
      </c>
      <c r="N87" s="284">
        <v>11.407407407407407</v>
      </c>
      <c r="O87" s="284">
        <v>34.592592592592595</v>
      </c>
      <c r="P87" s="285">
        <v>27.12962962962963</v>
      </c>
      <c r="Q87" s="279"/>
      <c r="R87" s="279"/>
      <c r="S87" s="279"/>
      <c r="T87" s="279"/>
      <c r="U87" s="279"/>
      <c r="V87" s="279"/>
      <c r="W87" s="279"/>
      <c r="X87" s="279"/>
      <c r="Y87" s="287"/>
    </row>
    <row r="88" spans="1:25" ht="15" hidden="1" customHeight="1" x14ac:dyDescent="0.25">
      <c r="B88" s="439">
        <f t="shared" si="42"/>
        <v>8</v>
      </c>
      <c r="C88" s="871" t="str">
        <f t="shared" si="42"/>
        <v>Lug-ganane</v>
      </c>
      <c r="D88" s="872"/>
      <c r="E88" s="284">
        <v>1.4627450980392158</v>
      </c>
      <c r="F88" s="284">
        <v>3.1529411764705886</v>
      </c>
      <c r="G88" s="284">
        <v>23.725490196078432</v>
      </c>
      <c r="H88" s="284">
        <v>101.31960784313726</v>
      </c>
      <c r="I88" s="284">
        <v>40.037254901960786</v>
      </c>
      <c r="J88" s="284">
        <v>1.0176470588235293</v>
      </c>
      <c r="K88" s="284">
        <v>2.2862745098039214</v>
      </c>
      <c r="L88" s="284">
        <v>0.36274509803921567</v>
      </c>
      <c r="M88" s="284">
        <v>1.5</v>
      </c>
      <c r="N88" s="284">
        <v>45.305882352941168</v>
      </c>
      <c r="O88" s="284">
        <v>50.694117647058832</v>
      </c>
      <c r="P88" s="285">
        <v>13.037254901960786</v>
      </c>
      <c r="Q88" s="279"/>
      <c r="R88" s="279"/>
      <c r="S88" s="279"/>
      <c r="T88" s="279"/>
      <c r="U88" s="279"/>
      <c r="V88" s="279"/>
      <c r="W88" s="279"/>
      <c r="X88" s="279"/>
      <c r="Y88" s="287"/>
    </row>
    <row r="89" spans="1:25" ht="15" hidden="1" customHeight="1" x14ac:dyDescent="0.25">
      <c r="B89" s="439">
        <f t="shared" si="42"/>
        <v>9</v>
      </c>
      <c r="C89" s="871" t="str">
        <f t="shared" si="42"/>
        <v>Maralal</v>
      </c>
      <c r="D89" s="872"/>
      <c r="E89" s="284">
        <v>15.8</v>
      </c>
      <c r="F89" s="284">
        <v>23.3</v>
      </c>
      <c r="G89" s="284">
        <v>38.92</v>
      </c>
      <c r="H89" s="284">
        <v>85.22</v>
      </c>
      <c r="I89" s="284">
        <v>65.900000000000006</v>
      </c>
      <c r="J89" s="284">
        <v>60.26</v>
      </c>
      <c r="K89" s="284">
        <v>88.5</v>
      </c>
      <c r="L89" s="284">
        <v>96.7</v>
      </c>
      <c r="M89" s="284">
        <v>35.28</v>
      </c>
      <c r="N89" s="284">
        <v>39.479999999999997</v>
      </c>
      <c r="O89" s="284">
        <v>50.42</v>
      </c>
      <c r="P89" s="285">
        <v>23.3</v>
      </c>
      <c r="Q89" s="279"/>
      <c r="R89" s="279"/>
      <c r="S89" s="279"/>
      <c r="T89" s="279"/>
      <c r="U89" s="279"/>
      <c r="V89" s="279"/>
      <c r="W89" s="279"/>
      <c r="X89" s="279"/>
      <c r="Y89" s="287"/>
    </row>
    <row r="90" spans="1:25" ht="15" hidden="1" customHeight="1" x14ac:dyDescent="0.25">
      <c r="B90" s="439">
        <f t="shared" si="42"/>
        <v>10</v>
      </c>
      <c r="C90" s="871" t="str">
        <f t="shared" si="42"/>
        <v>Marsabit</v>
      </c>
      <c r="D90" s="872"/>
      <c r="E90" s="284">
        <v>39.146666666666668</v>
      </c>
      <c r="F90" s="284">
        <v>27.853333333333332</v>
      </c>
      <c r="G90" s="284">
        <v>72.026666666666671</v>
      </c>
      <c r="H90" s="284">
        <v>225.33333333333334</v>
      </c>
      <c r="I90" s="284">
        <v>93.306666666666672</v>
      </c>
      <c r="J90" s="284">
        <v>8.9333333333333336</v>
      </c>
      <c r="K90" s="284">
        <v>14.733333333333333</v>
      </c>
      <c r="L90" s="284">
        <v>16.146666666666668</v>
      </c>
      <c r="M90" s="284">
        <v>10.893333333333333</v>
      </c>
      <c r="N90" s="284">
        <v>108.44</v>
      </c>
      <c r="O90" s="284">
        <v>131.80000000000001</v>
      </c>
      <c r="P90" s="285">
        <v>67.92</v>
      </c>
      <c r="Q90" s="279"/>
      <c r="R90" s="279"/>
      <c r="S90" s="279"/>
      <c r="T90" s="279"/>
      <c r="U90" s="279"/>
      <c r="V90" s="279"/>
      <c r="W90" s="279"/>
      <c r="X90" s="279"/>
      <c r="Y90" s="287"/>
    </row>
    <row r="91" spans="1:25" ht="15" hidden="1" customHeight="1" x14ac:dyDescent="0.25">
      <c r="B91" s="439">
        <f t="shared" si="42"/>
        <v>11</v>
      </c>
      <c r="C91" s="871" t="str">
        <f t="shared" si="42"/>
        <v>Moyale</v>
      </c>
      <c r="D91" s="872"/>
      <c r="E91" s="284">
        <v>14.697368421052632</v>
      </c>
      <c r="F91" s="284">
        <v>19.25</v>
      </c>
      <c r="G91" s="284">
        <v>55.5</v>
      </c>
      <c r="H91" s="284">
        <v>179.82894736842104</v>
      </c>
      <c r="I91" s="284">
        <v>130.78947368421052</v>
      </c>
      <c r="J91" s="284">
        <v>18.394736842105264</v>
      </c>
      <c r="K91" s="284">
        <v>16.184210526315791</v>
      </c>
      <c r="L91" s="284">
        <v>15.736842105263158</v>
      </c>
      <c r="M91" s="284">
        <v>23.842105263157894</v>
      </c>
      <c r="N91" s="284">
        <v>100.72368421052632</v>
      </c>
      <c r="O91" s="284">
        <v>88.881578947368425</v>
      </c>
      <c r="P91" s="285">
        <v>38.236842105263158</v>
      </c>
      <c r="Q91" s="279"/>
      <c r="R91" s="279"/>
      <c r="S91" s="279"/>
      <c r="T91" s="279"/>
      <c r="U91" s="279"/>
      <c r="V91" s="279"/>
      <c r="W91" s="279"/>
      <c r="X91" s="279"/>
      <c r="Y91" s="287"/>
    </row>
    <row r="92" spans="1:25" ht="15" hidden="1" customHeight="1" x14ac:dyDescent="0.25">
      <c r="B92" s="439">
        <f t="shared" si="42"/>
        <v>12</v>
      </c>
      <c r="C92" s="871" t="str">
        <f t="shared" si="42"/>
        <v>Wajir</v>
      </c>
      <c r="D92" s="872"/>
      <c r="E92" s="284">
        <v>6.6470588235294121</v>
      </c>
      <c r="F92" s="284">
        <v>6.6029411764705879</v>
      </c>
      <c r="G92" s="284">
        <v>28.632352941176471</v>
      </c>
      <c r="H92" s="284">
        <v>74.955882352941174</v>
      </c>
      <c r="I92" s="284">
        <v>33.573529411764703</v>
      </c>
      <c r="J92" s="284">
        <v>1.9852941176470589</v>
      </c>
      <c r="K92" s="284">
        <v>2.3529411764705883</v>
      </c>
      <c r="L92" s="284">
        <v>1.7794117647058822</v>
      </c>
      <c r="M92" s="284">
        <v>6.7941176470588234</v>
      </c>
      <c r="N92" s="284">
        <v>27.867647058823529</v>
      </c>
      <c r="O92" s="284">
        <v>51.544117647058826</v>
      </c>
      <c r="P92" s="285">
        <v>27.411764705882351</v>
      </c>
      <c r="Q92" s="279"/>
      <c r="R92" s="279"/>
      <c r="S92" s="279"/>
      <c r="T92" s="279"/>
      <c r="U92" s="279"/>
      <c r="V92" s="279"/>
      <c r="W92" s="279"/>
      <c r="X92" s="279"/>
      <c r="Y92" s="287"/>
    </row>
    <row r="93" spans="1:25" ht="15" hidden="1" customHeight="1" x14ac:dyDescent="0.25">
      <c r="B93" s="438">
        <f>T71</f>
        <v>13</v>
      </c>
      <c r="C93" s="873" t="s">
        <v>229</v>
      </c>
      <c r="D93" s="874"/>
      <c r="E93" s="436">
        <v>13.258274398868458</v>
      </c>
      <c r="F93" s="436">
        <v>15.598019801980197</v>
      </c>
      <c r="G93" s="436">
        <v>43.104667609618105</v>
      </c>
      <c r="H93" s="436">
        <v>116.34837340876943</v>
      </c>
      <c r="I93" s="436">
        <v>163.16817538896746</v>
      </c>
      <c r="J93" s="436">
        <v>57.673125884016976</v>
      </c>
      <c r="K93" s="436">
        <v>41.044759206798865</v>
      </c>
      <c r="L93" s="436">
        <v>179.33451202263083</v>
      </c>
      <c r="M93" s="436">
        <v>27.570721357850072</v>
      </c>
      <c r="N93" s="436">
        <v>51.529844413012725</v>
      </c>
      <c r="O93" s="436">
        <v>61.437623762376241</v>
      </c>
      <c r="P93" s="437">
        <v>33.405799151343707</v>
      </c>
      <c r="Q93" s="279"/>
      <c r="R93" s="279"/>
      <c r="S93" s="279"/>
      <c r="T93" s="279"/>
      <c r="U93" s="279"/>
      <c r="V93" s="279"/>
      <c r="W93" s="279"/>
      <c r="X93" s="279"/>
      <c r="Y93" s="287"/>
    </row>
    <row r="94" spans="1:25" s="7" customFormat="1" x14ac:dyDescent="0.25">
      <c r="A94" s="291" t="s">
        <v>151</v>
      </c>
      <c r="B94" s="875">
        <f>IF($N$71=1,E81,IF($N$71=2,E82,IF($N$71=3,E83,IF($N$71=4,E84,IF($N$71=5,E85,IF($N$71=6,E86,IF($N$71=7,E87,IF($N$71=8,E88,IF($N$71=9,E89,IF($N$71=10,E90,IF($N$71=11,E91,IF($N$71=12,E92,IF($N$71=13,E93,IF($N$71=14,"Fll-in below","N/A"))))))))))))))</f>
        <v>10.777777777777779</v>
      </c>
      <c r="C94" s="875"/>
      <c r="D94" s="866">
        <f>IF($N$71=1,F81,IF($N$71=2,F82,IF($N$71=3,F83,IF($N$71=4,F84,IF($N$71=5,F85,IF($N$71=6,F86,IF($N$71=7,F87,IF($N$71=8,F88,IF($N$71=9,F89,IF($N$71=10,F90,IF($N$71=11,F91,IF($N$71=12,F92,IF($N$71=13,F93,IF($N$71=14,"Fill-in below", "N/A"))))))))))))))</f>
        <v>24.518518518518519</v>
      </c>
      <c r="E94" s="867"/>
      <c r="F94" s="866">
        <f>IF($N$71=1,G81,IF($N$71=2,G82,IF($N$71=3,G83,IF($N$71=4,G84,IF($N$71=5,G85,IF($N$71=6,G86,IF($N$71=7,G87,IF($N$71=8,G88,IF($N$71=9,G89,IF($N$71=10,G90,IF($N$71=11,G91,IF($N$71=12,G92,IF($N$71=13,G93,IF($N$71=14,"Fill-in below","N/A"))))))))))))))</f>
        <v>47.629629629629626</v>
      </c>
      <c r="G94" s="867"/>
      <c r="H94" s="866">
        <f>IF($N$71=1,H81,IF($N$71=2,H82,IF($N$71=3,H83,IF($N$71=4,H84,IF($N$71=5,H85,IF($N$71=6,H86,IF($N$71=7,H87,IF($N$71=8,H88,IF($N$71=9,H89,IF($N$71=10,H90,IF($N$71=11,H91,IF($N$71=12,H92,IF($N$71=13,H93,IF($N$71=14,"Fill-in below", "N/A"))))))))))))))</f>
        <v>107.12962962962963</v>
      </c>
      <c r="I94" s="867"/>
      <c r="J94" s="866">
        <f>IF($N$71=1,I81,IF($N$71=2,I82,IF($N$71=3,I83,IF($N$71=4,I84,IF($N$71=5,I85,IF($N$71=6,I86,IF($N$71=7,I87,IF($N$71=8,I88,IF($N$71=9,I89,IF($N$71=10,I90,IF($N$71=11,I91,IF($N$71=12,I92,IF($N$71=13,I93,IF($N$71=14,"Fill-in below", "N/A"))))))))))))))</f>
        <v>46.444444444444443</v>
      </c>
      <c r="K94" s="867"/>
      <c r="L94" s="866">
        <f>IF($N$71=1,J81,IF($N$71=2,J82,IF($N$71=3,J83,IF($N$71=4,J84,IF($N$71=5,J85,IF($N$71=6,J86,IF($N$71=7,J87,IF($N$71=8,J88,IF($N$71=9,J89,IF($N$71=10,J90,IF($N$71=11,J91,IF($N$71=12,J92,IF($N$71=13,J93,IF($N$71=14,"Fill-in below","N/A"))))))))))))))</f>
        <v>19.12962962962963</v>
      </c>
      <c r="M94" s="867"/>
      <c r="N94" s="866">
        <f>IF($N$71=1,K81,IF($N$71=2,K82,IF($N$71=3,K83,IF($N$71=4,K84,IF($N$71=5,K85,IF($N$71=6,K86,IF($N$71=7,K87,IF($N$71=8,K88,IF($N$71=9,K89,IF($N$71=10,K90,IF($N$71=11,K91,IF($N$71=12,K92,IF($N$71=13,K93,IF($N$71=14,"Fill-in below", "N/A"))))))))))))))</f>
        <v>28.37037037037037</v>
      </c>
      <c r="O94" s="867"/>
      <c r="P94" s="866">
        <f>IF($N$71=1,L81,IF($N$71=2,L82,IF($N$71=3,L83,IF($N$71=4,L84,IF($N$71=5,L85,IF($N$71=6,L86,IF($N$71=7,L87,IF($N$71=8,L88,IF($N$71=9,L89,IF($N$71=10,L90,IF($N$71=11,L91,IF($N$71=12,L92,IF($N$71=13,L93,IF($N$71=14,"Fill-in below", "N/A"))))))))))))))</f>
        <v>14.314814814814815</v>
      </c>
      <c r="Q94" s="867"/>
      <c r="R94" s="866">
        <f>IF($N$71=1,M81,IF($N$71=2,M82,IF($N$71=3,M83,IF($N$71=4,M84,IF($N$71=5,M85,IF($N$71=6,M86,IF($N$71=7,M87,IF($N$71=8,M88,IF($N$71=9,M89,IF($N$71=10,M90,IF($N$71=11,M91,IF($N$71=12,M92,IF($N$71=13,M93,IF($N$71=14,"Fill-in below", "N/A"))))))))))))))</f>
        <v>11.796296296296296</v>
      </c>
      <c r="S94" s="867"/>
      <c r="T94" s="866">
        <f>IF($N$71=1,N81,IF($N$71=2,N82,IF($N$71=3,N83,IF($N$71=4,N84,IF($N$71=5,N85,IF($N$71=6,N86,IF($N$71=7,N87,IF($N$71=8,N88,IF($N$71=9,N89,IF($N$71=10,N90,IF($N$71=11,N91,IF($N$71=12,N92,IF($N$71=13,N93,IF($N$71=14,"Fill-in below", "N/A"))))))))))))))</f>
        <v>11.407407407407407</v>
      </c>
      <c r="U94" s="867"/>
      <c r="V94" s="866">
        <f>IF($N$71=1,O81,IF($N$71=2,O82,IF($N$71=3,O83,IF($N$71=4,O84,IF($N$71=5,O85,IF($N$71=6,O86,IF($N$71=7,O87,IF($N$71=8,O88,IF($N$71=9,O89,IF($N$71=10,O90,IF($N$71=11,O91,IF($N$71=12,O92,IF($N$71=13,O93,IF($N$71=14, "Fill-in below","N/A"))))))))))))))</f>
        <v>34.592592592592595</v>
      </c>
      <c r="W94" s="867"/>
      <c r="X94" s="866">
        <f>IF($N$71=1,P81,IF($N$71=2,P82,IF($N$71=3,P83,IF($N$71=4,P84,IF($N$71=5,P85,IF($N$71=6,P86,IF($N$71=7,P87,IF($N$71=8,P88,IF($N$71=9,P89,IF($N$71=10,P90,IF($N$71=11,P91,IF($N$71=12,P92,IF($N$71=13,P93,IF($N$71=14, "Fill-in below","N/A"))))))))))))))</f>
        <v>27.12962962962963</v>
      </c>
      <c r="Y94" s="867"/>
    </row>
    <row r="95" spans="1:25" s="7" customFormat="1" x14ac:dyDescent="0.25">
      <c r="A95" s="250"/>
      <c r="B95" s="286"/>
      <c r="C95" s="286"/>
      <c r="D95" s="286"/>
      <c r="E95" s="286"/>
      <c r="F95" s="286"/>
      <c r="G95" s="286"/>
      <c r="H95" s="286"/>
      <c r="I95" s="286"/>
      <c r="J95" s="286"/>
      <c r="K95" s="286"/>
      <c r="L95" s="286"/>
      <c r="M95" s="286"/>
      <c r="N95" s="286"/>
      <c r="O95" s="286"/>
      <c r="P95" s="286"/>
      <c r="Q95" s="286"/>
      <c r="R95" s="286"/>
      <c r="S95" s="286"/>
      <c r="T95" s="286"/>
      <c r="U95" s="286"/>
      <c r="V95" s="286"/>
      <c r="W95" s="286"/>
      <c r="X95" s="286"/>
      <c r="Y95" s="286"/>
    </row>
    <row r="96" spans="1:25" s="7" customFormat="1" x14ac:dyDescent="0.25">
      <c r="A96" s="547" t="s">
        <v>269</v>
      </c>
      <c r="B96" s="286"/>
      <c r="C96" s="286"/>
      <c r="D96" s="286"/>
      <c r="E96" s="286"/>
      <c r="F96" s="286"/>
      <c r="G96" s="286"/>
      <c r="H96" s="286"/>
      <c r="I96" s="286"/>
      <c r="J96" s="286"/>
      <c r="K96" s="286"/>
      <c r="L96" s="286"/>
      <c r="M96" s="286"/>
      <c r="N96" s="286"/>
      <c r="O96" s="286"/>
      <c r="P96" s="286"/>
      <c r="Q96" s="286"/>
      <c r="R96" s="286"/>
      <c r="S96" s="286"/>
      <c r="T96" s="286"/>
      <c r="U96" s="286"/>
      <c r="V96" s="286"/>
      <c r="W96" s="286"/>
      <c r="X96" s="286"/>
      <c r="Y96" s="286"/>
    </row>
    <row r="97" spans="1:25" s="7" customFormat="1" x14ac:dyDescent="0.25">
      <c r="A97" s="291" t="s">
        <v>268</v>
      </c>
      <c r="B97" s="875"/>
      <c r="C97" s="875"/>
      <c r="D97" s="875"/>
      <c r="E97" s="875"/>
      <c r="F97" s="875"/>
      <c r="G97" s="875"/>
      <c r="H97" s="875"/>
      <c r="I97" s="875"/>
      <c r="J97" s="875"/>
      <c r="K97" s="875"/>
      <c r="L97" s="875"/>
      <c r="M97" s="875"/>
      <c r="N97" s="875"/>
      <c r="O97" s="875"/>
      <c r="P97" s="875"/>
      <c r="Q97" s="875"/>
      <c r="R97" s="875"/>
      <c r="S97" s="875"/>
      <c r="T97" s="875"/>
      <c r="U97" s="875"/>
      <c r="V97" s="875"/>
      <c r="W97" s="875"/>
      <c r="X97" s="875"/>
      <c r="Y97" s="875"/>
    </row>
    <row r="98" spans="1:25" s="7" customFormat="1" x14ac:dyDescent="0.25">
      <c r="B98" s="286"/>
      <c r="C98" s="286"/>
      <c r="D98" s="286"/>
      <c r="E98" s="286"/>
      <c r="F98" s="286"/>
      <c r="G98" s="286"/>
      <c r="H98" s="286"/>
      <c r="I98" s="286"/>
      <c r="J98" s="286"/>
      <c r="K98" s="286"/>
      <c r="L98" s="286"/>
      <c r="M98" s="286"/>
      <c r="N98" s="286"/>
      <c r="O98" s="286"/>
      <c r="P98" s="286"/>
      <c r="Q98" s="286"/>
      <c r="R98" s="286"/>
      <c r="S98" s="286"/>
      <c r="T98" s="286"/>
      <c r="U98" s="286"/>
      <c r="V98" s="286"/>
      <c r="W98" s="286"/>
      <c r="X98" s="286"/>
      <c r="Y98" s="286"/>
    </row>
    <row r="99" spans="1:25" s="7" customFormat="1" x14ac:dyDescent="0.25">
      <c r="C99" s="288" t="s">
        <v>149</v>
      </c>
      <c r="D99" s="288"/>
      <c r="E99" s="288"/>
      <c r="F99" s="288"/>
    </row>
    <row r="100" spans="1:25" s="7" customFormat="1" ht="15" customHeight="1" x14ac:dyDescent="0.25">
      <c r="B100" s="835" t="s">
        <v>92</v>
      </c>
      <c r="C100" s="825"/>
      <c r="D100" s="835" t="s">
        <v>93</v>
      </c>
      <c r="E100" s="825"/>
      <c r="F100" s="835" t="s">
        <v>94</v>
      </c>
      <c r="G100" s="825"/>
      <c r="H100" s="835" t="s">
        <v>95</v>
      </c>
      <c r="I100" s="825"/>
      <c r="J100" s="835" t="s">
        <v>96</v>
      </c>
      <c r="K100" s="825"/>
      <c r="L100" s="835" t="s">
        <v>97</v>
      </c>
      <c r="M100" s="825"/>
      <c r="N100" s="835" t="s">
        <v>98</v>
      </c>
      <c r="O100" s="825"/>
      <c r="P100" s="835" t="s">
        <v>99</v>
      </c>
      <c r="Q100" s="830"/>
      <c r="R100" s="846" t="s">
        <v>100</v>
      </c>
      <c r="S100" s="830"/>
      <c r="T100" s="864" t="s">
        <v>101</v>
      </c>
      <c r="U100" s="865"/>
      <c r="V100" s="846" t="s">
        <v>102</v>
      </c>
      <c r="W100" s="830"/>
      <c r="X100" s="846" t="s">
        <v>103</v>
      </c>
      <c r="Y100" s="830"/>
    </row>
    <row r="101" spans="1:25" s="7" customFormat="1" x14ac:dyDescent="0.25">
      <c r="A101" s="291" t="s">
        <v>150</v>
      </c>
      <c r="B101" s="864">
        <f>IF($N$71=14,IF(IF(B97&lt;75,0.6*B97-10,0.8*B97-25)&lt;0,0,IF(B97&lt;75,0.6*B97-10,0.8*B97-25)),IF(IF(B94&lt;75,0.6*B94-10,0.8*B94-25)&lt;0,0,IF(B94&lt;75,0.6*B94-10,0.8*B94-25)))</f>
        <v>0</v>
      </c>
      <c r="C101" s="865" t="e">
        <f t="shared" ref="C101:Y101" si="43">IF(C99&lt;75,0.6*C99-10,0.8*C99-25)</f>
        <v>#VALUE!</v>
      </c>
      <c r="D101" s="864">
        <f>IF($N$71=14,IF(IF(D97&lt;75,0.6*D97-10,0.8*D97-25)&lt;0,0,IF(D97&lt;75,0.6*D97-10,0.8*D97-25)),IF(IF(D94&lt;75,0.6*D94-10,0.8*D94-25)&lt;0,0,IF(D94&lt;75,0.6*D94-10,0.8*D94-25)))</f>
        <v>4.7111111111111104</v>
      </c>
      <c r="E101" s="865">
        <f t="shared" si="43"/>
        <v>-10</v>
      </c>
      <c r="F101" s="864">
        <f>IF($N$71=14,IF(IF(F97&lt;75,0.6*F97-10,0.8*F97-25)&lt;0,0,IF(F97&lt;75,0.6*F97-10,0.8*F97-25)),IF(IF(F94&lt;75,0.6*F94-10,0.8*F94-25)&lt;0,0,IF(F94&lt;75,0.6*F94-10,0.8*F94-25)))</f>
        <v>18.577777777777776</v>
      </c>
      <c r="G101" s="865">
        <f t="shared" si="43"/>
        <v>-10</v>
      </c>
      <c r="H101" s="864">
        <f>IF($N$71=14,IF(IF(H97&lt;75,0.6*H97-10,0.8*H97-25)&lt;0,0,IF(H97&lt;75,0.6*H97-10,0.8*H97-25)),IF(IF(H94&lt;75,0.6*H94-10,0.8*H94-25)&lt;0,0,IF(H94&lt;75,0.6*H94-10,0.8*H94-25)))</f>
        <v>60.703703703703709</v>
      </c>
      <c r="I101" s="865">
        <f t="shared" si="43"/>
        <v>-10</v>
      </c>
      <c r="J101" s="864">
        <f>IF($N$71=14,IF(IF(J97&lt;75,0.6*J97-10,0.8*J97-25)&lt;0,0,IF(J97&lt;75,0.6*J97-10,0.8*J97-25)),IF(IF(J94&lt;75,0.6*J94-10,0.8*J94-25)&lt;0,0,IF(J94&lt;75,0.6*J94-10,0.8*J94-25)))</f>
        <v>17.866666666666664</v>
      </c>
      <c r="K101" s="865">
        <f t="shared" si="43"/>
        <v>-10</v>
      </c>
      <c r="L101" s="864">
        <f>IF($N$71=14,IF(IF(L97&lt;75,0.6*L97-10,0.8*L97-25)&lt;0,0,IF(L97&lt;75,0.6*L97-10,0.8*L97-25)),IF(IF(L94&lt;75,0.6*L94-10,0.8*L94-25)&lt;0,0,IF(L94&lt;75,0.6*L94-10,0.8*L94-25)))</f>
        <v>1.4777777777777779</v>
      </c>
      <c r="M101" s="865">
        <f t="shared" si="43"/>
        <v>-10</v>
      </c>
      <c r="N101" s="864">
        <f>IF($N$71=14,IF(IF(N97&lt;75,0.6*N97-10,0.8*N97-25)&lt;0,0,IF(N97&lt;75,0.6*N97-10,0.8*N97-25)),IF(IF(N94&lt;75,0.6*N94-10,0.8*N94-25)&lt;0,0,IF(N94&lt;75,0.6*N94-10,0.8*N94-25)))</f>
        <v>7.0222222222222221</v>
      </c>
      <c r="O101" s="865">
        <f t="shared" si="43"/>
        <v>-10</v>
      </c>
      <c r="P101" s="864">
        <f>IF($N$71=14,IF(IF(P97&lt;75,0.6*P97-10,0.8*P97-25)&lt;0,0,IF(P97&lt;75,0.6*P97-10,0.8*P97-25)),IF(IF(P94&lt;75,0.6*P94-10,0.8*P94-25)&lt;0,0,IF(P94&lt;75,0.6*P94-10,0.8*P94-25)))</f>
        <v>0</v>
      </c>
      <c r="Q101" s="865">
        <f t="shared" si="43"/>
        <v>-10</v>
      </c>
      <c r="R101" s="864">
        <f>IF($N$71=14,IF(IF(R97&lt;75,0.6*R97-10,0.8*R97-25)&lt;0,0,IF(R97&lt;75,0.6*R97-10,0.8*R97-25)),IF(IF(R94&lt;75,0.6*R94-10,0.8*R94-25)&lt;0,0,IF(R94&lt;75,0.6*R94-10,0.8*R94-25)))</f>
        <v>0</v>
      </c>
      <c r="S101" s="865">
        <f t="shared" si="43"/>
        <v>-10</v>
      </c>
      <c r="T101" s="864">
        <f>IF($N$71=14,IF(IF(T97&lt;75,0.6*T97-10,0.8*T97-25)&lt;0,0,IF(T97&lt;75,0.6*T97-10,0.8*T97-25)),IF(IF(T94&lt;75,0.6*T94-10,0.8*T94-25)&lt;0,0,IF(T94&lt;75,0.6*T94-10,0.8*T94-25)))</f>
        <v>0</v>
      </c>
      <c r="U101" s="865">
        <f t="shared" si="43"/>
        <v>-10</v>
      </c>
      <c r="V101" s="864">
        <f>IF($N$71=14,IF(IF(V97&lt;75,0.6*V97-10,0.8*V97-25)&lt;0,0,IF(V97&lt;75,0.6*V97-10,0.8*V97-25)),IF(IF(V94&lt;75,0.6*V94-10,0.8*V94-25)&lt;0,0,IF(V94&lt;75,0.6*V94-10,0.8*V94-25)))</f>
        <v>10.755555555555556</v>
      </c>
      <c r="W101" s="865">
        <f t="shared" si="43"/>
        <v>-10</v>
      </c>
      <c r="X101" s="864">
        <f>IF($N$71=14,IF(IF(X97&lt;75,0.6*X97-10,0.8*X97-25)&lt;0,0,IF(X97&lt;75,0.6*X97-10,0.8*X97-25)),IF(IF(X94&lt;75,0.6*X94-10,0.8*X94-25)&lt;0,0,IF(X94&lt;75,0.6*X94-10,0.8*X94-25)))</f>
        <v>6.2777777777777786</v>
      </c>
      <c r="Y101" s="865">
        <f t="shared" si="43"/>
        <v>-10</v>
      </c>
    </row>
    <row r="102" spans="1:25" s="7" customFormat="1" x14ac:dyDescent="0.25">
      <c r="B102" s="286"/>
      <c r="C102" s="286"/>
      <c r="D102" s="286"/>
      <c r="E102" s="286"/>
      <c r="F102" s="286"/>
      <c r="G102" s="286"/>
      <c r="H102" s="286"/>
      <c r="I102" s="286"/>
      <c r="J102" s="286"/>
      <c r="K102" s="286"/>
      <c r="L102" s="286"/>
      <c r="M102" s="286"/>
      <c r="N102" s="286"/>
      <c r="O102" s="286"/>
      <c r="P102" s="286"/>
      <c r="Q102" s="286"/>
      <c r="R102" s="286"/>
      <c r="S102" s="286"/>
      <c r="T102" s="286"/>
      <c r="U102" s="286"/>
      <c r="V102" s="286"/>
      <c r="W102" s="286"/>
      <c r="X102" s="286"/>
      <c r="Y102" s="286"/>
    </row>
    <row r="103" spans="1:25" s="7" customFormat="1" x14ac:dyDescent="0.25">
      <c r="B103" s="286"/>
      <c r="C103" s="286"/>
      <c r="D103" s="286"/>
      <c r="E103" s="286"/>
      <c r="F103" s="286"/>
      <c r="G103" s="286"/>
      <c r="H103" s="286"/>
      <c r="I103" s="286"/>
      <c r="J103" s="286"/>
      <c r="K103" s="286"/>
      <c r="L103" s="286"/>
      <c r="M103" s="286"/>
      <c r="N103" s="286"/>
      <c r="O103" s="286"/>
      <c r="P103" s="286"/>
      <c r="Q103" s="286"/>
      <c r="R103" s="286"/>
      <c r="S103" s="286"/>
      <c r="T103" s="286"/>
      <c r="U103" s="286"/>
      <c r="V103" s="286"/>
      <c r="W103" s="286"/>
      <c r="X103" s="286"/>
      <c r="Y103" s="286"/>
    </row>
    <row r="104" spans="1:25" s="253" customFormat="1" x14ac:dyDescent="0.25">
      <c r="A104" s="253" t="s">
        <v>164</v>
      </c>
    </row>
    <row r="105" spans="1:25" s="234" customFormat="1" x14ac:dyDescent="0.25"/>
    <row r="106" spans="1:25" s="234" customFormat="1" x14ac:dyDescent="0.25">
      <c r="B106" s="846" t="s">
        <v>92</v>
      </c>
      <c r="C106" s="830"/>
      <c r="D106" s="846" t="s">
        <v>93</v>
      </c>
      <c r="E106" s="830"/>
      <c r="F106" s="846" t="s">
        <v>94</v>
      </c>
      <c r="G106" s="830"/>
      <c r="H106" s="846" t="s">
        <v>95</v>
      </c>
      <c r="I106" s="830"/>
      <c r="J106" s="846" t="s">
        <v>96</v>
      </c>
      <c r="K106" s="830"/>
      <c r="L106" s="846" t="s">
        <v>97</v>
      </c>
      <c r="M106" s="830"/>
      <c r="N106" s="846" t="s">
        <v>98</v>
      </c>
      <c r="O106" s="830"/>
      <c r="P106" s="846" t="s">
        <v>99</v>
      </c>
      <c r="Q106" s="830"/>
      <c r="R106" s="846" t="s">
        <v>100</v>
      </c>
      <c r="S106" s="830"/>
      <c r="T106" s="864" t="s">
        <v>101</v>
      </c>
      <c r="U106" s="865"/>
      <c r="V106" s="846" t="s">
        <v>102</v>
      </c>
      <c r="W106" s="830"/>
      <c r="X106" s="846" t="s">
        <v>103</v>
      </c>
      <c r="Y106" s="830"/>
    </row>
    <row r="107" spans="1:25" s="234" customFormat="1" x14ac:dyDescent="0.25">
      <c r="A107" s="324" t="str">
        <f t="shared" ref="A107:A116" si="44">A56</f>
        <v>Beans</v>
      </c>
      <c r="B107" s="864">
        <f t="shared" ref="B107:B116" si="45">IF(B56="",0,IF(B56-$B$101&lt;0,0,B56-$B$101))</f>
        <v>0</v>
      </c>
      <c r="C107" s="830"/>
      <c r="D107" s="864">
        <f t="shared" ref="D107:D116" si="46">IF(D56="",0,IF(D56-$D$101&lt;0,0,D56-$D$101))</f>
        <v>0</v>
      </c>
      <c r="E107" s="865"/>
      <c r="F107" s="864">
        <f t="shared" ref="F107:F116" si="47">IF(F56="",0,IF(F56-$F$101&lt;0,0,F56-$F$101))</f>
        <v>0</v>
      </c>
      <c r="G107" s="865"/>
      <c r="H107" s="864">
        <f t="shared" ref="H107:H116" si="48">IF(H56="",0,IF(H56-$H$101&lt;0,0,H56-$H$101))</f>
        <v>0</v>
      </c>
      <c r="I107" s="830"/>
      <c r="J107" s="864">
        <f t="shared" ref="J107:J116" si="49">IF(J56="",0,IF(J56-$J$101&lt;0,0,J56-$J$101))</f>
        <v>0</v>
      </c>
      <c r="K107" s="830"/>
      <c r="L107" s="864">
        <f t="shared" ref="L107:L116" si="50">IF(L56="",0,IF(L56-$L$101&lt;0,0,L56-$L$101))</f>
        <v>0</v>
      </c>
      <c r="M107" s="830"/>
      <c r="N107" s="864">
        <f t="shared" ref="N107:N116" si="51">IF(N56="",0,IF(N56-$N$101&lt;0,0,N56-$N$101))</f>
        <v>0</v>
      </c>
      <c r="O107" s="830"/>
      <c r="P107" s="864">
        <f t="shared" ref="P107:P116" si="52">IF(P56="",0,IF(P56-$P$101&lt;0,0,P56-$P$101))</f>
        <v>0</v>
      </c>
      <c r="Q107" s="830"/>
      <c r="R107" s="864">
        <f t="shared" ref="R107:R116" si="53">IF(R56="",0,IF(R56-$R$101&lt;0,0,R56-$R$101))</f>
        <v>0</v>
      </c>
      <c r="S107" s="830"/>
      <c r="T107" s="864">
        <f t="shared" ref="T107:T116" si="54">IF(T56="",0,IF(T56-$T$101&lt;0,0,T56-$T$101))</f>
        <v>0</v>
      </c>
      <c r="U107" s="830"/>
      <c r="V107" s="864">
        <f t="shared" ref="V107:V116" si="55">IF(V56="",0,IF(V56-$V$101&lt;0,0,V56-$V$101))</f>
        <v>0</v>
      </c>
      <c r="W107" s="830"/>
      <c r="X107" s="864">
        <f t="shared" ref="X107:X116" si="56">IF(X56="",0,IF(X56-$X$101&lt;0,0,X56-$X$101))</f>
        <v>0</v>
      </c>
      <c r="Y107" s="830"/>
    </row>
    <row r="108" spans="1:25" s="234" customFormat="1" x14ac:dyDescent="0.25">
      <c r="A108" s="324" t="str">
        <f t="shared" si="44"/>
        <v>Cabbage</v>
      </c>
      <c r="B108" s="864">
        <f t="shared" si="45"/>
        <v>0</v>
      </c>
      <c r="C108" s="830"/>
      <c r="D108" s="864">
        <f t="shared" si="46"/>
        <v>0</v>
      </c>
      <c r="E108" s="865"/>
      <c r="F108" s="864">
        <f t="shared" si="47"/>
        <v>0</v>
      </c>
      <c r="G108" s="865"/>
      <c r="H108" s="864">
        <f t="shared" si="48"/>
        <v>0</v>
      </c>
      <c r="I108" s="830"/>
      <c r="J108" s="864">
        <f t="shared" si="49"/>
        <v>0</v>
      </c>
      <c r="K108" s="830"/>
      <c r="L108" s="864">
        <f t="shared" si="50"/>
        <v>0</v>
      </c>
      <c r="M108" s="830"/>
      <c r="N108" s="864">
        <f t="shared" si="51"/>
        <v>0</v>
      </c>
      <c r="O108" s="830"/>
      <c r="P108" s="864">
        <f t="shared" si="52"/>
        <v>0</v>
      </c>
      <c r="Q108" s="830"/>
      <c r="R108" s="864">
        <f t="shared" si="53"/>
        <v>0</v>
      </c>
      <c r="S108" s="830"/>
      <c r="T108" s="864">
        <f t="shared" si="54"/>
        <v>0</v>
      </c>
      <c r="U108" s="830"/>
      <c r="V108" s="864">
        <f t="shared" si="55"/>
        <v>0</v>
      </c>
      <c r="W108" s="830"/>
      <c r="X108" s="864">
        <f t="shared" si="56"/>
        <v>0</v>
      </c>
      <c r="Y108" s="830"/>
    </row>
    <row r="109" spans="1:25" s="234" customFormat="1" x14ac:dyDescent="0.25">
      <c r="A109" s="324" t="str">
        <f t="shared" si="44"/>
        <v>Groundnut</v>
      </c>
      <c r="B109" s="864">
        <f t="shared" si="45"/>
        <v>0</v>
      </c>
      <c r="C109" s="830"/>
      <c r="D109" s="864">
        <f t="shared" si="46"/>
        <v>0</v>
      </c>
      <c r="E109" s="865"/>
      <c r="F109" s="864">
        <f t="shared" si="47"/>
        <v>0</v>
      </c>
      <c r="G109" s="865"/>
      <c r="H109" s="864">
        <f t="shared" si="48"/>
        <v>0</v>
      </c>
      <c r="I109" s="830"/>
      <c r="J109" s="864">
        <f t="shared" si="49"/>
        <v>0</v>
      </c>
      <c r="K109" s="830"/>
      <c r="L109" s="864">
        <f t="shared" si="50"/>
        <v>0</v>
      </c>
      <c r="M109" s="830"/>
      <c r="N109" s="864">
        <f t="shared" si="51"/>
        <v>0</v>
      </c>
      <c r="O109" s="830"/>
      <c r="P109" s="864">
        <f t="shared" si="52"/>
        <v>0</v>
      </c>
      <c r="Q109" s="830"/>
      <c r="R109" s="864">
        <f t="shared" si="53"/>
        <v>0</v>
      </c>
      <c r="S109" s="830"/>
      <c r="T109" s="864">
        <f t="shared" si="54"/>
        <v>0</v>
      </c>
      <c r="U109" s="830"/>
      <c r="V109" s="864">
        <f t="shared" si="55"/>
        <v>0</v>
      </c>
      <c r="W109" s="830"/>
      <c r="X109" s="864">
        <f t="shared" si="56"/>
        <v>0</v>
      </c>
      <c r="Y109" s="830"/>
    </row>
    <row r="110" spans="1:25" s="234" customFormat="1" x14ac:dyDescent="0.25">
      <c r="A110" s="324" t="str">
        <f t="shared" si="44"/>
        <v>Maize</v>
      </c>
      <c r="B110" s="864">
        <f t="shared" si="45"/>
        <v>212.765625</v>
      </c>
      <c r="C110" s="830"/>
      <c r="D110" s="864">
        <f t="shared" si="46"/>
        <v>0</v>
      </c>
      <c r="E110" s="865"/>
      <c r="F110" s="864">
        <f t="shared" si="47"/>
        <v>0</v>
      </c>
      <c r="G110" s="865"/>
      <c r="H110" s="864">
        <f t="shared" si="48"/>
        <v>0</v>
      </c>
      <c r="I110" s="830"/>
      <c r="J110" s="864">
        <f t="shared" si="49"/>
        <v>194.89895833333333</v>
      </c>
      <c r="K110" s="830"/>
      <c r="L110" s="864">
        <f t="shared" si="50"/>
        <v>211.28784722222221</v>
      </c>
      <c r="M110" s="830"/>
      <c r="N110" s="864">
        <f t="shared" si="51"/>
        <v>205.74340277777779</v>
      </c>
      <c r="O110" s="830"/>
      <c r="P110" s="864">
        <f t="shared" si="52"/>
        <v>0</v>
      </c>
      <c r="Q110" s="830"/>
      <c r="R110" s="864">
        <f t="shared" si="53"/>
        <v>0</v>
      </c>
      <c r="S110" s="830"/>
      <c r="T110" s="864">
        <f t="shared" si="54"/>
        <v>0</v>
      </c>
      <c r="U110" s="830"/>
      <c r="V110" s="864">
        <f t="shared" si="55"/>
        <v>202.01006944444444</v>
      </c>
      <c r="W110" s="830"/>
      <c r="X110" s="864">
        <f t="shared" si="56"/>
        <v>206.48784722222223</v>
      </c>
      <c r="Y110" s="830"/>
    </row>
    <row r="111" spans="1:25" s="234" customFormat="1" x14ac:dyDescent="0.25">
      <c r="A111" s="324" t="str">
        <f t="shared" si="44"/>
        <v>Melon</v>
      </c>
      <c r="B111" s="864">
        <f t="shared" si="45"/>
        <v>0</v>
      </c>
      <c r="C111" s="830"/>
      <c r="D111" s="864">
        <f t="shared" si="46"/>
        <v>0</v>
      </c>
      <c r="E111" s="865"/>
      <c r="F111" s="864">
        <f t="shared" si="47"/>
        <v>0</v>
      </c>
      <c r="G111" s="865"/>
      <c r="H111" s="864">
        <f t="shared" si="48"/>
        <v>0</v>
      </c>
      <c r="I111" s="830"/>
      <c r="J111" s="864">
        <f t="shared" si="49"/>
        <v>0</v>
      </c>
      <c r="K111" s="830"/>
      <c r="L111" s="864">
        <f t="shared" si="50"/>
        <v>0</v>
      </c>
      <c r="M111" s="830"/>
      <c r="N111" s="864">
        <f t="shared" si="51"/>
        <v>0</v>
      </c>
      <c r="O111" s="830"/>
      <c r="P111" s="864">
        <f t="shared" si="52"/>
        <v>0</v>
      </c>
      <c r="Q111" s="830"/>
      <c r="R111" s="864">
        <f t="shared" si="53"/>
        <v>0</v>
      </c>
      <c r="S111" s="830"/>
      <c r="T111" s="864">
        <f t="shared" si="54"/>
        <v>0</v>
      </c>
      <c r="U111" s="830"/>
      <c r="V111" s="864">
        <f t="shared" si="55"/>
        <v>0</v>
      </c>
      <c r="W111" s="830"/>
      <c r="X111" s="864">
        <f t="shared" si="56"/>
        <v>0</v>
      </c>
      <c r="Y111" s="830"/>
    </row>
    <row r="112" spans="1:25" s="234" customFormat="1" x14ac:dyDescent="0.25">
      <c r="A112" s="324" t="str">
        <f t="shared" si="44"/>
        <v>Millet</v>
      </c>
      <c r="B112" s="864">
        <f t="shared" si="45"/>
        <v>0</v>
      </c>
      <c r="C112" s="830"/>
      <c r="D112" s="864">
        <f t="shared" si="46"/>
        <v>0</v>
      </c>
      <c r="E112" s="865"/>
      <c r="F112" s="864">
        <f t="shared" si="47"/>
        <v>0</v>
      </c>
      <c r="G112" s="865"/>
      <c r="H112" s="864">
        <f t="shared" si="48"/>
        <v>0</v>
      </c>
      <c r="I112" s="830"/>
      <c r="J112" s="864">
        <f t="shared" si="49"/>
        <v>0</v>
      </c>
      <c r="K112" s="830"/>
      <c r="L112" s="864">
        <f t="shared" si="50"/>
        <v>0</v>
      </c>
      <c r="M112" s="830"/>
      <c r="N112" s="864">
        <f t="shared" si="51"/>
        <v>0</v>
      </c>
      <c r="O112" s="830"/>
      <c r="P112" s="864">
        <f t="shared" si="52"/>
        <v>0</v>
      </c>
      <c r="Q112" s="830"/>
      <c r="R112" s="864">
        <f t="shared" si="53"/>
        <v>0</v>
      </c>
      <c r="S112" s="830"/>
      <c r="T112" s="864">
        <f t="shared" si="54"/>
        <v>0</v>
      </c>
      <c r="U112" s="830"/>
      <c r="V112" s="864">
        <f t="shared" si="55"/>
        <v>0</v>
      </c>
      <c r="W112" s="830"/>
      <c r="X112" s="864">
        <f t="shared" si="56"/>
        <v>0</v>
      </c>
      <c r="Y112" s="830"/>
    </row>
    <row r="113" spans="1:25" s="234" customFormat="1" x14ac:dyDescent="0.25">
      <c r="A113" s="324" t="str">
        <f t="shared" si="44"/>
        <v>Onion dry</v>
      </c>
      <c r="B113" s="864">
        <f t="shared" si="45"/>
        <v>0</v>
      </c>
      <c r="C113" s="830"/>
      <c r="D113" s="864">
        <f t="shared" si="46"/>
        <v>0</v>
      </c>
      <c r="E113" s="865"/>
      <c r="F113" s="864">
        <f t="shared" si="47"/>
        <v>0</v>
      </c>
      <c r="G113" s="865"/>
      <c r="H113" s="864">
        <f t="shared" si="48"/>
        <v>0</v>
      </c>
      <c r="I113" s="830"/>
      <c r="J113" s="864">
        <f t="shared" si="49"/>
        <v>0</v>
      </c>
      <c r="K113" s="830"/>
      <c r="L113" s="864">
        <f t="shared" si="50"/>
        <v>0</v>
      </c>
      <c r="M113" s="830"/>
      <c r="N113" s="864">
        <f t="shared" si="51"/>
        <v>0</v>
      </c>
      <c r="O113" s="830"/>
      <c r="P113" s="864">
        <f t="shared" si="52"/>
        <v>0</v>
      </c>
      <c r="Q113" s="830"/>
      <c r="R113" s="864">
        <f t="shared" si="53"/>
        <v>0</v>
      </c>
      <c r="S113" s="830"/>
      <c r="T113" s="864">
        <f t="shared" si="54"/>
        <v>0</v>
      </c>
      <c r="U113" s="830"/>
      <c r="V113" s="864">
        <f t="shared" si="55"/>
        <v>0</v>
      </c>
      <c r="W113" s="830"/>
      <c r="X113" s="864">
        <f t="shared" si="56"/>
        <v>0</v>
      </c>
      <c r="Y113" s="830"/>
    </row>
    <row r="114" spans="1:25" s="234" customFormat="1" x14ac:dyDescent="0.25">
      <c r="A114" s="324" t="str">
        <f t="shared" si="44"/>
        <v>Sorghum</v>
      </c>
      <c r="B114" s="864">
        <f t="shared" si="45"/>
        <v>197.625</v>
      </c>
      <c r="C114" s="830"/>
      <c r="D114" s="864">
        <f t="shared" si="46"/>
        <v>0</v>
      </c>
      <c r="E114" s="865"/>
      <c r="F114" s="864">
        <f t="shared" si="47"/>
        <v>0</v>
      </c>
      <c r="G114" s="865"/>
      <c r="H114" s="864">
        <f t="shared" si="48"/>
        <v>136.9212962962963</v>
      </c>
      <c r="I114" s="830"/>
      <c r="J114" s="864">
        <f t="shared" si="49"/>
        <v>179.75833333333333</v>
      </c>
      <c r="K114" s="830"/>
      <c r="L114" s="864">
        <f t="shared" si="50"/>
        <v>196.14722222222221</v>
      </c>
      <c r="M114" s="830"/>
      <c r="N114" s="864">
        <f t="shared" si="51"/>
        <v>190.60277777777779</v>
      </c>
      <c r="O114" s="830"/>
      <c r="P114" s="864">
        <f t="shared" si="52"/>
        <v>0</v>
      </c>
      <c r="Q114" s="830"/>
      <c r="R114" s="864">
        <f t="shared" si="53"/>
        <v>0</v>
      </c>
      <c r="S114" s="830"/>
      <c r="T114" s="864">
        <f t="shared" si="54"/>
        <v>197.625</v>
      </c>
      <c r="U114" s="830"/>
      <c r="V114" s="864">
        <f t="shared" si="55"/>
        <v>186.86944444444444</v>
      </c>
      <c r="W114" s="830"/>
      <c r="X114" s="864">
        <f t="shared" si="56"/>
        <v>191.34722222222223</v>
      </c>
      <c r="Y114" s="830"/>
    </row>
    <row r="115" spans="1:25" s="234" customFormat="1" x14ac:dyDescent="0.25">
      <c r="A115" s="324" t="str">
        <f t="shared" si="44"/>
        <v>Spinach</v>
      </c>
      <c r="B115" s="864">
        <f t="shared" si="45"/>
        <v>193.8</v>
      </c>
      <c r="C115" s="830"/>
      <c r="D115" s="864">
        <f t="shared" si="46"/>
        <v>0</v>
      </c>
      <c r="E115" s="865"/>
      <c r="F115" s="864">
        <f t="shared" si="47"/>
        <v>0</v>
      </c>
      <c r="G115" s="865"/>
      <c r="H115" s="864">
        <f t="shared" si="48"/>
        <v>0</v>
      </c>
      <c r="I115" s="830"/>
      <c r="J115" s="864">
        <f t="shared" si="49"/>
        <v>0</v>
      </c>
      <c r="K115" s="830"/>
      <c r="L115" s="864">
        <f t="shared" si="50"/>
        <v>192.32222222222222</v>
      </c>
      <c r="M115" s="830"/>
      <c r="N115" s="864">
        <f t="shared" si="51"/>
        <v>186.7777777777778</v>
      </c>
      <c r="O115" s="830"/>
      <c r="P115" s="864">
        <f t="shared" si="52"/>
        <v>0</v>
      </c>
      <c r="Q115" s="830"/>
      <c r="R115" s="864">
        <f t="shared" si="53"/>
        <v>0</v>
      </c>
      <c r="S115" s="830"/>
      <c r="T115" s="864">
        <f t="shared" si="54"/>
        <v>0</v>
      </c>
      <c r="U115" s="830"/>
      <c r="V115" s="864">
        <f t="shared" si="55"/>
        <v>0</v>
      </c>
      <c r="W115" s="830"/>
      <c r="X115" s="864">
        <f t="shared" si="56"/>
        <v>187.52222222222224</v>
      </c>
      <c r="Y115" s="830"/>
    </row>
    <row r="116" spans="1:25" s="234" customFormat="1" x14ac:dyDescent="0.25">
      <c r="A116" s="324" t="str">
        <f t="shared" si="44"/>
        <v>Tomato</v>
      </c>
      <c r="B116" s="864">
        <f t="shared" si="45"/>
        <v>0</v>
      </c>
      <c r="C116" s="830"/>
      <c r="D116" s="864">
        <f t="shared" si="46"/>
        <v>0</v>
      </c>
      <c r="E116" s="865"/>
      <c r="F116" s="864">
        <f t="shared" si="47"/>
        <v>0</v>
      </c>
      <c r="G116" s="865"/>
      <c r="H116" s="864">
        <f t="shared" si="48"/>
        <v>0</v>
      </c>
      <c r="I116" s="830"/>
      <c r="J116" s="864">
        <f t="shared" si="49"/>
        <v>0</v>
      </c>
      <c r="K116" s="830"/>
      <c r="L116" s="864">
        <f t="shared" si="50"/>
        <v>0</v>
      </c>
      <c r="M116" s="830"/>
      <c r="N116" s="864">
        <f t="shared" si="51"/>
        <v>0</v>
      </c>
      <c r="O116" s="830"/>
      <c r="P116" s="864">
        <f t="shared" si="52"/>
        <v>0</v>
      </c>
      <c r="Q116" s="830"/>
      <c r="R116" s="864">
        <f t="shared" si="53"/>
        <v>0</v>
      </c>
      <c r="S116" s="830"/>
      <c r="T116" s="864">
        <f t="shared" si="54"/>
        <v>0</v>
      </c>
      <c r="U116" s="830"/>
      <c r="V116" s="864">
        <f t="shared" si="55"/>
        <v>0</v>
      </c>
      <c r="W116" s="830"/>
      <c r="X116" s="864">
        <f t="shared" si="56"/>
        <v>0</v>
      </c>
      <c r="Y116" s="830"/>
    </row>
    <row r="117" spans="1:25" s="234" customFormat="1" x14ac:dyDescent="0.25">
      <c r="A117" s="293"/>
      <c r="B117" s="294"/>
      <c r="C117" s="294"/>
      <c r="D117" s="294"/>
      <c r="E117" s="294"/>
      <c r="F117" s="294"/>
      <c r="G117" s="294"/>
      <c r="H117" s="294"/>
      <c r="I117" s="294"/>
      <c r="J117" s="294"/>
      <c r="K117" s="294"/>
      <c r="L117" s="294"/>
      <c r="M117" s="294"/>
      <c r="N117" s="294"/>
      <c r="O117" s="294"/>
      <c r="P117" s="294"/>
      <c r="Q117" s="294"/>
      <c r="R117" s="294"/>
      <c r="S117" s="294"/>
      <c r="T117" s="294"/>
      <c r="U117" s="294"/>
      <c r="V117" s="294"/>
      <c r="W117" s="294"/>
      <c r="X117" s="294"/>
      <c r="Y117" s="294"/>
    </row>
    <row r="118" spans="1:25" s="234" customFormat="1" x14ac:dyDescent="0.25">
      <c r="A118" s="293"/>
      <c r="B118" s="294"/>
      <c r="C118" s="294"/>
      <c r="D118" s="294"/>
      <c r="E118" s="294"/>
      <c r="F118" s="294"/>
      <c r="G118" s="294"/>
      <c r="H118" s="294"/>
      <c r="I118" s="294"/>
      <c r="J118" s="294"/>
      <c r="K118" s="321"/>
      <c r="L118" s="321"/>
      <c r="M118" s="321"/>
      <c r="N118" s="321"/>
      <c r="O118" s="321"/>
      <c r="P118" s="321"/>
      <c r="Q118" s="294"/>
      <c r="R118" s="294"/>
      <c r="S118" s="294"/>
      <c r="T118" s="294"/>
      <c r="U118" s="294"/>
      <c r="V118" s="294"/>
      <c r="W118" s="294"/>
      <c r="X118" s="294"/>
      <c r="Y118" s="294"/>
    </row>
    <row r="119" spans="1:25" s="234" customFormat="1" x14ac:dyDescent="0.25">
      <c r="A119" s="293"/>
      <c r="B119" s="314" t="s">
        <v>37</v>
      </c>
      <c r="C119" s="315"/>
      <c r="D119" s="316"/>
      <c r="E119" s="294"/>
      <c r="F119" s="317" t="s">
        <v>159</v>
      </c>
      <c r="G119" s="134">
        <v>0.5</v>
      </c>
      <c r="H119" s="172" t="s">
        <v>160</v>
      </c>
      <c r="I119" s="124"/>
      <c r="L119" s="885" t="s">
        <v>165</v>
      </c>
      <c r="M119" s="825"/>
      <c r="N119" s="860" t="s">
        <v>166</v>
      </c>
      <c r="O119" s="861"/>
      <c r="P119" s="289"/>
      <c r="R119" s="234" t="s">
        <v>267</v>
      </c>
      <c r="W119" s="294"/>
      <c r="X119" s="294"/>
      <c r="Y119" s="294"/>
    </row>
    <row r="120" spans="1:25" s="234" customFormat="1" x14ac:dyDescent="0.25">
      <c r="A120" s="293"/>
      <c r="B120" s="294"/>
      <c r="C120" s="294"/>
      <c r="D120" s="316"/>
      <c r="E120" s="294"/>
      <c r="F120" s="317" t="s">
        <v>159</v>
      </c>
      <c r="G120" s="318">
        <f>G119*4046.85</f>
        <v>2023.425</v>
      </c>
      <c r="H120" s="172" t="s">
        <v>43</v>
      </c>
      <c r="I120" s="124"/>
      <c r="L120" s="870"/>
      <c r="M120" s="828"/>
      <c r="N120" s="893">
        <f>'1 - General Data'!G12</f>
        <v>2013</v>
      </c>
      <c r="O120" s="894"/>
      <c r="P120" s="289"/>
      <c r="R120" s="548"/>
      <c r="S120" s="548"/>
      <c r="W120" s="294"/>
      <c r="X120" s="294"/>
      <c r="Y120" s="294"/>
    </row>
    <row r="121" spans="1:25" s="234" customFormat="1" x14ac:dyDescent="0.25">
      <c r="A121" s="293"/>
      <c r="B121" s="294"/>
      <c r="C121" s="294"/>
      <c r="D121" s="316"/>
      <c r="E121" s="294"/>
      <c r="F121" s="317" t="s">
        <v>162</v>
      </c>
      <c r="G121" s="552">
        <v>0.6</v>
      </c>
      <c r="H121" s="172"/>
      <c r="I121" s="124"/>
      <c r="J121" s="886" t="str">
        <f t="shared" ref="J121:J130" si="57">A107</f>
        <v>Beans</v>
      </c>
      <c r="K121" s="887"/>
      <c r="L121" s="883"/>
      <c r="M121" s="884"/>
      <c r="N121" s="888">
        <f>'1 - General Data'!$G$35*$G$121/100*$G$120*L121</f>
        <v>0</v>
      </c>
      <c r="O121" s="889"/>
      <c r="P121" s="289"/>
      <c r="R121" s="833" t="str">
        <f t="shared" ref="R121:R130" si="58">A107</f>
        <v>Beans</v>
      </c>
      <c r="S121" s="830"/>
      <c r="T121" s="883"/>
      <c r="U121" s="884"/>
      <c r="W121" s="294"/>
      <c r="X121" s="294"/>
      <c r="Y121" s="294"/>
    </row>
    <row r="122" spans="1:25" s="234" customFormat="1" x14ac:dyDescent="0.25">
      <c r="A122" s="293"/>
      <c r="B122" s="294"/>
      <c r="C122" s="294"/>
      <c r="D122" s="316"/>
      <c r="E122" s="294"/>
      <c r="F122" s="317"/>
      <c r="G122" s="318"/>
      <c r="H122" s="172"/>
      <c r="I122" s="124"/>
      <c r="J122" s="886" t="str">
        <f t="shared" si="57"/>
        <v>Cabbage</v>
      </c>
      <c r="K122" s="887"/>
      <c r="L122" s="883"/>
      <c r="M122" s="884"/>
      <c r="N122" s="888">
        <f>'1 - General Data'!$G$35*$G$121/100*$G$120*L122</f>
        <v>0</v>
      </c>
      <c r="O122" s="889"/>
      <c r="P122" s="278"/>
      <c r="R122" s="833" t="str">
        <f t="shared" si="58"/>
        <v>Cabbage</v>
      </c>
      <c r="S122" s="830"/>
      <c r="T122" s="883"/>
      <c r="U122" s="884"/>
      <c r="W122" s="294"/>
      <c r="X122" s="294"/>
      <c r="Y122" s="294"/>
    </row>
    <row r="123" spans="1:25" s="234" customFormat="1" x14ac:dyDescent="0.25">
      <c r="A123" s="312"/>
      <c r="B123" s="294"/>
      <c r="C123" s="294"/>
      <c r="D123" s="332"/>
      <c r="E123" s="330"/>
      <c r="F123" s="333"/>
      <c r="G123" s="334"/>
      <c r="H123" s="335"/>
      <c r="I123" s="124"/>
      <c r="J123" s="886" t="str">
        <f t="shared" si="57"/>
        <v>Groundnut</v>
      </c>
      <c r="K123" s="887"/>
      <c r="L123" s="883"/>
      <c r="M123" s="884"/>
      <c r="N123" s="888">
        <f>'1 - General Data'!$G$35*$G$121/100*$G$120*L123</f>
        <v>0</v>
      </c>
      <c r="O123" s="889"/>
      <c r="P123" s="289"/>
      <c r="Q123" s="294"/>
      <c r="R123" s="833" t="str">
        <f t="shared" si="58"/>
        <v>Groundnut</v>
      </c>
      <c r="S123" s="830"/>
      <c r="T123" s="883"/>
      <c r="U123" s="884"/>
      <c r="Y123" s="294"/>
    </row>
    <row r="124" spans="1:25" s="234" customFormat="1" ht="15" customHeight="1" x14ac:dyDescent="0.25">
      <c r="A124" s="312"/>
      <c r="B124" s="901" t="s">
        <v>264</v>
      </c>
      <c r="C124" s="902"/>
      <c r="D124" s="902"/>
      <c r="F124" s="294"/>
      <c r="G124" s="294"/>
      <c r="H124" s="172"/>
      <c r="I124" s="124"/>
      <c r="J124" s="886" t="str">
        <f t="shared" si="57"/>
        <v>Maize</v>
      </c>
      <c r="K124" s="887"/>
      <c r="L124" s="883">
        <v>0.5</v>
      </c>
      <c r="M124" s="884"/>
      <c r="N124" s="888">
        <f>'1 - General Data'!$G$35*$G$121/100*$G$120*L124</f>
        <v>22389.802987046703</v>
      </c>
      <c r="O124" s="889"/>
      <c r="P124" s="289"/>
      <c r="Q124" s="294"/>
      <c r="R124" s="833" t="str">
        <f t="shared" si="58"/>
        <v>Maize</v>
      </c>
      <c r="S124" s="830"/>
      <c r="T124" s="883">
        <v>0.5</v>
      </c>
      <c r="U124" s="884"/>
      <c r="Y124" s="294"/>
    </row>
    <row r="125" spans="1:25" s="234" customFormat="1" ht="15" customHeight="1" x14ac:dyDescent="0.25">
      <c r="A125" s="520"/>
      <c r="B125" s="294"/>
      <c r="C125" s="294"/>
      <c r="D125" s="294"/>
      <c r="E125" s="294"/>
      <c r="F125" s="294"/>
      <c r="G125" s="294"/>
      <c r="H125" s="172"/>
      <c r="I125" s="124"/>
      <c r="J125" s="886" t="str">
        <f t="shared" si="57"/>
        <v>Melon</v>
      </c>
      <c r="K125" s="887"/>
      <c r="L125" s="883"/>
      <c r="M125" s="884"/>
      <c r="N125" s="888">
        <f>'1 - General Data'!$G$35*$G$121/100*$G$120*L125</f>
        <v>0</v>
      </c>
      <c r="O125" s="889"/>
      <c r="P125" s="518"/>
      <c r="Q125" s="519"/>
      <c r="R125" s="833" t="str">
        <f t="shared" si="58"/>
        <v>Melon</v>
      </c>
      <c r="S125" s="830"/>
      <c r="T125" s="883"/>
      <c r="U125" s="884"/>
      <c r="Y125" s="519"/>
    </row>
    <row r="126" spans="1:25" s="234" customFormat="1" x14ac:dyDescent="0.25">
      <c r="A126" s="520"/>
      <c r="B126" s="294"/>
      <c r="C126" s="316"/>
      <c r="D126" s="519"/>
      <c r="E126" s="317" t="s">
        <v>265</v>
      </c>
      <c r="F126" s="883">
        <v>0.9</v>
      </c>
      <c r="G126" s="884"/>
      <c r="H126" s="172"/>
      <c r="I126" s="124"/>
      <c r="J126" s="886" t="str">
        <f t="shared" si="57"/>
        <v>Millet</v>
      </c>
      <c r="K126" s="887"/>
      <c r="L126" s="883"/>
      <c r="M126" s="884"/>
      <c r="N126" s="888">
        <f>'1 - General Data'!$G$35*$G$121/100*$G$120*L126</f>
        <v>0</v>
      </c>
      <c r="O126" s="889"/>
      <c r="P126" s="518"/>
      <c r="Q126" s="519"/>
      <c r="R126" s="833" t="str">
        <f t="shared" si="58"/>
        <v>Millet</v>
      </c>
      <c r="S126" s="830"/>
      <c r="T126" s="883"/>
      <c r="U126" s="884"/>
      <c r="Y126" s="519"/>
    </row>
    <row r="127" spans="1:25" s="234" customFormat="1" x14ac:dyDescent="0.25">
      <c r="A127" s="520"/>
      <c r="B127" s="519"/>
      <c r="C127" s="316"/>
      <c r="D127" s="519"/>
      <c r="E127" s="317" t="s">
        <v>266</v>
      </c>
      <c r="F127" s="883">
        <v>0.1</v>
      </c>
      <c r="G127" s="884"/>
      <c r="H127" s="172"/>
      <c r="I127" s="124"/>
      <c r="J127" s="886" t="str">
        <f t="shared" si="57"/>
        <v>Onion dry</v>
      </c>
      <c r="K127" s="887"/>
      <c r="L127" s="883"/>
      <c r="M127" s="884"/>
      <c r="N127" s="888">
        <f>'1 - General Data'!$G$35*$G$121/100*$G$120*L127</f>
        <v>0</v>
      </c>
      <c r="O127" s="889"/>
      <c r="P127" s="518"/>
      <c r="Q127" s="519"/>
      <c r="R127" s="833" t="str">
        <f t="shared" si="58"/>
        <v>Onion dry</v>
      </c>
      <c r="S127" s="830"/>
      <c r="T127" s="883"/>
      <c r="U127" s="884"/>
      <c r="Y127" s="519"/>
    </row>
    <row r="128" spans="1:25" s="234" customFormat="1" x14ac:dyDescent="0.25">
      <c r="A128" s="520"/>
      <c r="B128" s="519"/>
      <c r="C128" s="519"/>
      <c r="D128" s="316"/>
      <c r="E128" s="519"/>
      <c r="F128" s="895">
        <f>F126+F127</f>
        <v>1</v>
      </c>
      <c r="G128" s="830"/>
      <c r="H128" s="172"/>
      <c r="I128" s="124"/>
      <c r="J128" s="886" t="str">
        <f t="shared" si="57"/>
        <v>Sorghum</v>
      </c>
      <c r="K128" s="887"/>
      <c r="L128" s="883">
        <v>0.4</v>
      </c>
      <c r="M128" s="884"/>
      <c r="N128" s="888">
        <f>'1 - General Data'!$G$35*$G$121/100*$G$120*L128</f>
        <v>17911.842389637364</v>
      </c>
      <c r="O128" s="889"/>
      <c r="P128" s="518"/>
      <c r="Q128" s="519"/>
      <c r="R128" s="833" t="str">
        <f t="shared" si="58"/>
        <v>Sorghum</v>
      </c>
      <c r="S128" s="830"/>
      <c r="T128" s="883">
        <v>0.5</v>
      </c>
      <c r="U128" s="884"/>
      <c r="Y128" s="519"/>
    </row>
    <row r="129" spans="1:25" s="234" customFormat="1" ht="15" customHeight="1" x14ac:dyDescent="0.25">
      <c r="A129" s="312"/>
      <c r="B129" s="294"/>
      <c r="C129" s="294"/>
      <c r="D129" s="316"/>
      <c r="E129" s="294"/>
      <c r="F129" s="317"/>
      <c r="G129" s="318"/>
      <c r="H129" s="172"/>
      <c r="I129" s="124"/>
      <c r="J129" s="886" t="str">
        <f t="shared" si="57"/>
        <v>Spinach</v>
      </c>
      <c r="K129" s="887"/>
      <c r="L129" s="883">
        <v>0.1</v>
      </c>
      <c r="M129" s="884"/>
      <c r="N129" s="888">
        <f>'1 - General Data'!$G$35*$G$121/100*$G$120*L129</f>
        <v>4477.9605974093411</v>
      </c>
      <c r="O129" s="889"/>
      <c r="P129" s="289"/>
      <c r="Q129" s="294"/>
      <c r="R129" s="833" t="str">
        <f t="shared" si="58"/>
        <v>Spinach</v>
      </c>
      <c r="S129" s="830"/>
      <c r="T129" s="883">
        <v>0.5</v>
      </c>
      <c r="U129" s="884"/>
      <c r="Y129" s="294"/>
    </row>
    <row r="130" spans="1:25" s="234" customFormat="1" x14ac:dyDescent="0.25">
      <c r="A130" s="312"/>
      <c r="B130" s="294"/>
      <c r="C130" s="294"/>
      <c r="D130" s="316"/>
      <c r="E130" s="294"/>
      <c r="F130" s="317"/>
      <c r="G130" s="318"/>
      <c r="H130" s="172"/>
      <c r="I130" s="124"/>
      <c r="J130" s="886" t="str">
        <f t="shared" si="57"/>
        <v>Tomato</v>
      </c>
      <c r="K130" s="887"/>
      <c r="L130" s="883"/>
      <c r="M130" s="884"/>
      <c r="N130" s="890">
        <f>'1 - General Data'!$G$35*$G$121/100*$G$120*L130</f>
        <v>0</v>
      </c>
      <c r="O130" s="891"/>
      <c r="P130" s="289"/>
      <c r="Q130" s="294"/>
      <c r="R130" s="833" t="str">
        <f t="shared" si="58"/>
        <v>Tomato</v>
      </c>
      <c r="S130" s="830"/>
      <c r="T130" s="883"/>
      <c r="U130" s="884"/>
      <c r="Y130" s="294"/>
    </row>
    <row r="131" spans="1:25" s="234" customFormat="1" x14ac:dyDescent="0.25">
      <c r="A131" s="312"/>
      <c r="B131" s="294"/>
      <c r="C131" s="294"/>
      <c r="D131" s="316"/>
      <c r="E131" s="294"/>
      <c r="F131" s="317"/>
      <c r="G131" s="318"/>
      <c r="H131" s="172"/>
      <c r="I131" s="124"/>
      <c r="L131" s="895">
        <f>SUM(L121:M130)</f>
        <v>1</v>
      </c>
      <c r="M131" s="830"/>
      <c r="N131" s="892"/>
      <c r="O131" s="892"/>
      <c r="P131" s="289"/>
      <c r="Q131" s="294"/>
      <c r="R131" s="294"/>
      <c r="S131" s="294"/>
      <c r="T131" s="294"/>
      <c r="Y131" s="294"/>
    </row>
    <row r="132" spans="1:25" s="234" customFormat="1" x14ac:dyDescent="0.25">
      <c r="A132" s="293"/>
      <c r="B132" s="294"/>
      <c r="C132" s="294"/>
      <c r="D132" s="294"/>
      <c r="E132" s="294"/>
      <c r="F132" s="294"/>
      <c r="G132" s="118"/>
      <c r="H132" s="118"/>
      <c r="I132" s="151"/>
      <c r="J132" s="118"/>
      <c r="K132" s="329"/>
      <c r="L132" s="177"/>
      <c r="M132" s="329"/>
      <c r="N132" s="177"/>
      <c r="O132" s="845"/>
      <c r="P132" s="845"/>
      <c r="Q132" s="294"/>
      <c r="R132" s="294"/>
      <c r="S132" s="294"/>
      <c r="T132" s="294"/>
      <c r="Y132" s="294"/>
    </row>
    <row r="133" spans="1:25" s="7" customFormat="1" x14ac:dyDescent="0.25">
      <c r="C133" s="288" t="s">
        <v>161</v>
      </c>
      <c r="D133" s="288"/>
      <c r="E133" s="288"/>
      <c r="F133" s="288"/>
    </row>
    <row r="134" spans="1:25" s="234" customFormat="1" x14ac:dyDescent="0.25">
      <c r="A134" s="293"/>
      <c r="B134" s="846" t="s">
        <v>92</v>
      </c>
      <c r="C134" s="830"/>
      <c r="D134" s="846" t="s">
        <v>93</v>
      </c>
      <c r="E134" s="830"/>
      <c r="F134" s="846" t="s">
        <v>94</v>
      </c>
      <c r="G134" s="830"/>
      <c r="H134" s="846" t="s">
        <v>95</v>
      </c>
      <c r="I134" s="830"/>
      <c r="J134" s="846" t="s">
        <v>96</v>
      </c>
      <c r="K134" s="830"/>
      <c r="L134" s="846" t="s">
        <v>97</v>
      </c>
      <c r="M134" s="830"/>
      <c r="N134" s="846" t="s">
        <v>98</v>
      </c>
      <c r="O134" s="830"/>
      <c r="P134" s="846" t="s">
        <v>99</v>
      </c>
      <c r="Q134" s="830"/>
      <c r="R134" s="846" t="s">
        <v>100</v>
      </c>
      <c r="S134" s="830"/>
      <c r="T134" s="864" t="s">
        <v>101</v>
      </c>
      <c r="U134" s="865"/>
      <c r="V134" s="846" t="s">
        <v>102</v>
      </c>
      <c r="W134" s="830"/>
      <c r="X134" s="846" t="s">
        <v>103</v>
      </c>
      <c r="Y134" s="830"/>
    </row>
    <row r="135" spans="1:25" s="234" customFormat="1" hidden="1" x14ac:dyDescent="0.25">
      <c r="A135" s="331" t="str">
        <f t="shared" ref="A135:A144" si="59">A107</f>
        <v>Beans</v>
      </c>
      <c r="B135" s="864">
        <f>B107/1000*$N$121*(1-$F$126)+B107/1000*$N$121*$F$126*$T$121</f>
        <v>0</v>
      </c>
      <c r="C135" s="865"/>
      <c r="D135" s="864">
        <f>D107/1000*$N$121*(1-$F$126)+D107/1000*$N$121*$F$126*$T$121</f>
        <v>0</v>
      </c>
      <c r="E135" s="865"/>
      <c r="F135" s="864">
        <f>F107/1000*$N$121*(1-$F$126)+F107/1000*$N$121*$F$126*$T$121</f>
        <v>0</v>
      </c>
      <c r="G135" s="865"/>
      <c r="H135" s="864">
        <f>H107/1000*$N$121*(1-$F$126)+H107/1000*$N$121*$F$126*$T$121</f>
        <v>0</v>
      </c>
      <c r="I135" s="865"/>
      <c r="J135" s="864">
        <f>J107/1000*$N$121*(1-$F$126)+J107/1000*$N$121*$F$126*$T$121</f>
        <v>0</v>
      </c>
      <c r="K135" s="865"/>
      <c r="L135" s="864">
        <f>L107/1000*$N$121*(1-$F$126)+L107/1000*$N$121*$F$126*$T$121</f>
        <v>0</v>
      </c>
      <c r="M135" s="865"/>
      <c r="N135" s="864">
        <f>N107/1000*$N$121*(1-$F$126)+N107/1000*$N$121*$F$126*$T$121</f>
        <v>0</v>
      </c>
      <c r="O135" s="865"/>
      <c r="P135" s="864">
        <f>P107/1000*$N$121*(1-$F$126)+P107/1000*$N$121*$F$126*$T$121</f>
        <v>0</v>
      </c>
      <c r="Q135" s="865"/>
      <c r="R135" s="864">
        <f>R107/1000*$N$121*(1-$F$126)+R107/1000*$N$121*$F$126*$T$121</f>
        <v>0</v>
      </c>
      <c r="S135" s="865"/>
      <c r="T135" s="864">
        <f>T107/1000*$N$121*(1-$F$126)+T107/1000*$N$121*$F$126*$T$121</f>
        <v>0</v>
      </c>
      <c r="U135" s="865"/>
      <c r="V135" s="864">
        <f>V107/1000*$N$121*(1-$F$126)+V107/1000*$N$121*$F$126*$T$121</f>
        <v>0</v>
      </c>
      <c r="W135" s="865"/>
      <c r="X135" s="864">
        <f>X107/1000*$N$121*(1-$F$126)+X107/1000*$N$121*$F$126*$T$121</f>
        <v>0</v>
      </c>
      <c r="Y135" s="865"/>
    </row>
    <row r="136" spans="1:25" s="234" customFormat="1" hidden="1" x14ac:dyDescent="0.25">
      <c r="A136" s="331" t="str">
        <f t="shared" si="59"/>
        <v>Cabbage</v>
      </c>
      <c r="B136" s="864">
        <f>B108/1000*$N$122*(1-$F$126)+B108/1000*$N$122*$F$126*$T$122</f>
        <v>0</v>
      </c>
      <c r="C136" s="865"/>
      <c r="D136" s="864">
        <f>D108/1000*$N$122*(1-$F$126)+D108/1000*$N$122*$F$126*$T$122</f>
        <v>0</v>
      </c>
      <c r="E136" s="865"/>
      <c r="F136" s="864">
        <f>F108/1000*$N$122*(1-$F$126)+F108/1000*$N$122*$F$126*$T$122</f>
        <v>0</v>
      </c>
      <c r="G136" s="865"/>
      <c r="H136" s="864">
        <f>H108/1000*$N$122*(1-$F$126)+H108/1000*$N$122*$F$126*$T$122</f>
        <v>0</v>
      </c>
      <c r="I136" s="865"/>
      <c r="J136" s="864">
        <f>J108/1000*$N$122*(1-$F$126)+J108/1000*$N$122*$F$126*$T$122</f>
        <v>0</v>
      </c>
      <c r="K136" s="865"/>
      <c r="L136" s="864">
        <f>L108/1000*$N$122*(1-$F$126)+L108/1000*$N$122*$F$126*$T$122</f>
        <v>0</v>
      </c>
      <c r="M136" s="865"/>
      <c r="N136" s="864">
        <f>N108/1000*$N$122*(1-$F$126)+N108/1000*$N$122*$F$126*$T$122</f>
        <v>0</v>
      </c>
      <c r="O136" s="865"/>
      <c r="P136" s="864">
        <f>P108/1000*$N$122*(1-$F$126)+P108/1000*$N$122*$F$126*$T$122</f>
        <v>0</v>
      </c>
      <c r="Q136" s="865"/>
      <c r="R136" s="864">
        <f>R108/1000*$N$122*(1-$F$126)+R108/1000*$N$122*$F$126*$T$122</f>
        <v>0</v>
      </c>
      <c r="S136" s="865"/>
      <c r="T136" s="864">
        <f>T108/1000*$N$122*(1-$F$126)+T108/1000*$N$122*$F$126*$T$122</f>
        <v>0</v>
      </c>
      <c r="U136" s="865"/>
      <c r="V136" s="864">
        <f>V108/1000*$N$122*(1-$F$126)+V108/1000*$N$122*$F$126*$T$122</f>
        <v>0</v>
      </c>
      <c r="W136" s="865"/>
      <c r="X136" s="864">
        <f>X108/1000*$N$122*(1-$F$126)+X108/1000*$N$122*$F$126*$T$122</f>
        <v>0</v>
      </c>
      <c r="Y136" s="865"/>
    </row>
    <row r="137" spans="1:25" s="234" customFormat="1" hidden="1" x14ac:dyDescent="0.25">
      <c r="A137" s="331" t="str">
        <f t="shared" si="59"/>
        <v>Groundnut</v>
      </c>
      <c r="B137" s="864">
        <f>B109/1000*$N$123*(1-$F$126)+B109/1000*$N$123*$F$126*$T$123</f>
        <v>0</v>
      </c>
      <c r="C137" s="865"/>
      <c r="D137" s="864">
        <f>D109/1000*$N$123*(1-$F$126)+D109/1000*$N$123*$F$126*$T$123</f>
        <v>0</v>
      </c>
      <c r="E137" s="865"/>
      <c r="F137" s="864">
        <f>F109/1000*$N$123*(1-$F$126)+F109/1000*$N$123*$F$126*$T$123</f>
        <v>0</v>
      </c>
      <c r="G137" s="865"/>
      <c r="H137" s="864">
        <f>H109/1000*$N$123*(1-$F$126)+H109/1000*$N$123*$F$126*$T$123</f>
        <v>0</v>
      </c>
      <c r="I137" s="865"/>
      <c r="J137" s="864">
        <f>J109/1000*$N$123*(1-$F$126)+J109/1000*$N$123*$F$126*$T$123</f>
        <v>0</v>
      </c>
      <c r="K137" s="865"/>
      <c r="L137" s="864">
        <f>L109/1000*$N$123*(1-$F$126)+L109/1000*$N$123*$F$126*$T$123</f>
        <v>0</v>
      </c>
      <c r="M137" s="865"/>
      <c r="N137" s="864">
        <f>N109/1000*$N$123*(1-$F$126)+N109/1000*$N$123*$F$126*$T$123</f>
        <v>0</v>
      </c>
      <c r="O137" s="865"/>
      <c r="P137" s="864">
        <f>P109/1000*$N$123*(1-$F$126)+P109/1000*$N$123*$F$126*$T$123</f>
        <v>0</v>
      </c>
      <c r="Q137" s="865"/>
      <c r="R137" s="864">
        <f>R109/1000*$N$123*(1-$F$126)+R109/1000*$N$123*$F$126*$T$123</f>
        <v>0</v>
      </c>
      <c r="S137" s="865"/>
      <c r="T137" s="864">
        <f>T109/1000*$N$123*(1-$F$126)+T109/1000*$N$123*$F$126*$T$123</f>
        <v>0</v>
      </c>
      <c r="U137" s="865"/>
      <c r="V137" s="864">
        <f>V109/1000*$N$123*(1-$F$126)+V109/1000*$N$123*$F$126*$T$123</f>
        <v>0</v>
      </c>
      <c r="W137" s="865"/>
      <c r="X137" s="864">
        <f>X109/1000*$N$123*(1-$F$126)+X109/1000*$N$123*$F$126*$T$123</f>
        <v>0</v>
      </c>
      <c r="Y137" s="865"/>
    </row>
    <row r="138" spans="1:25" s="234" customFormat="1" hidden="1" x14ac:dyDescent="0.25">
      <c r="A138" s="331" t="str">
        <f t="shared" si="59"/>
        <v>Maize</v>
      </c>
      <c r="B138" s="864">
        <f>B110/1000*$N$124*(1-$F$126)+B110/1000*$N$124*$F$126*$T$124</f>
        <v>2620.0792343912226</v>
      </c>
      <c r="C138" s="865"/>
      <c r="D138" s="864">
        <f>D110/1000*$N$124*(1-$F$126)+D110/1000*$N$124*$F$126*$T$124</f>
        <v>0</v>
      </c>
      <c r="E138" s="865"/>
      <c r="F138" s="864">
        <f>F110/1000*$N$124*(1-$F$126)+F110/1000*$N$124*$F$126*$T$124</f>
        <v>0</v>
      </c>
      <c r="G138" s="865"/>
      <c r="H138" s="864">
        <f>H110/1000*$N$124*(1-$F$126)+H110/1000*$N$124*$F$126*$T$124</f>
        <v>0</v>
      </c>
      <c r="I138" s="865"/>
      <c r="J138" s="864">
        <f>J110/1000*$N$124*(1-$F$126)+J110/1000*$N$124*$F$126*$T$124</f>
        <v>2400.0621037051765</v>
      </c>
      <c r="K138" s="865"/>
      <c r="L138" s="864">
        <f>L110/1000*$N$124*(1-$F$126)+L110/1000*$N$124*$F$126*$T$124</f>
        <v>2601.8813000745281</v>
      </c>
      <c r="M138" s="865"/>
      <c r="N138" s="864">
        <f>N110/1000*$N$124*(1-$F$126)+N110/1000*$N$124*$F$126*$T$124</f>
        <v>2533.6048397434733</v>
      </c>
      <c r="O138" s="865"/>
      <c r="P138" s="864">
        <f>P110/1000*$N$124*(1-$F$126)+P110/1000*$N$124*$F$126*$T$124</f>
        <v>0</v>
      </c>
      <c r="Q138" s="865"/>
      <c r="R138" s="864">
        <f>R110/1000*$N$124*(1-$F$126)+R110/1000*$N$124*$F$126*$T$124</f>
        <v>0</v>
      </c>
      <c r="S138" s="865"/>
      <c r="T138" s="864">
        <f>T110/1000*$N$124*(1-$F$126)+T110/1000*$N$124*$F$126*$T$124</f>
        <v>0</v>
      </c>
      <c r="U138" s="865"/>
      <c r="V138" s="864">
        <f>V110/1000*$N$124*(1-$F$126)+V110/1000*$N$124*$F$126*$T$124</f>
        <v>2487.6311109434037</v>
      </c>
      <c r="W138" s="865"/>
      <c r="X138" s="864">
        <f>X110/1000*$N$124*(1-$F$126)+X110/1000*$N$124*$F$126*$T$124</f>
        <v>2542.7722201887245</v>
      </c>
      <c r="Y138" s="865"/>
    </row>
    <row r="139" spans="1:25" s="234" customFormat="1" hidden="1" x14ac:dyDescent="0.25">
      <c r="A139" s="331" t="str">
        <f t="shared" si="59"/>
        <v>Melon</v>
      </c>
      <c r="B139" s="864">
        <f>B111/1000*$N$124*(1-$F$126)+B111/1000*$N$124*$F$126*$T$125</f>
        <v>0</v>
      </c>
      <c r="C139" s="865"/>
      <c r="D139" s="864">
        <f>D111/1000*$N$124*(1-$F$126)+D111/1000*$N$124*$F$126*$T$125</f>
        <v>0</v>
      </c>
      <c r="E139" s="865"/>
      <c r="F139" s="864">
        <f>F111/1000*$N$124*(1-$F$126)+F111/1000*$N$124*$F$126*$T$125</f>
        <v>0</v>
      </c>
      <c r="G139" s="865"/>
      <c r="H139" s="864">
        <f>H111/1000*$N$124*(1-$F$126)+H111/1000*$N$124*$F$126*$T$125</f>
        <v>0</v>
      </c>
      <c r="I139" s="865"/>
      <c r="J139" s="864">
        <f>J111/1000*$N$124*(1-$F$126)+J111/1000*$N$124*$F$126*$T$125</f>
        <v>0</v>
      </c>
      <c r="K139" s="865"/>
      <c r="L139" s="864">
        <f>L111/1000*$N$124*(1-$F$126)+L111/1000*$N$124*$F$126*$T$125</f>
        <v>0</v>
      </c>
      <c r="M139" s="865"/>
      <c r="N139" s="864">
        <f>N111/1000*$N$124*(1-$F$126)+N111/1000*$N$124*$F$126*$T$125</f>
        <v>0</v>
      </c>
      <c r="O139" s="865"/>
      <c r="P139" s="864">
        <f>P111/1000*$N$124*(1-$F$126)+P111/1000*$N$124*$F$126*$T$125</f>
        <v>0</v>
      </c>
      <c r="Q139" s="865"/>
      <c r="R139" s="864">
        <f>R111/1000*$N$124*(1-$F$126)+R111/1000*$N$124*$F$126*$T$125</f>
        <v>0</v>
      </c>
      <c r="S139" s="865"/>
      <c r="T139" s="864">
        <f>T111/1000*$N$124*(1-$F$126)+T111/1000*$N$124*$F$126*$T$125</f>
        <v>0</v>
      </c>
      <c r="U139" s="865"/>
      <c r="V139" s="864">
        <f>V111/1000*$N$124*(1-$F$126)+V111/1000*$N$124*$F$126*$T$125</f>
        <v>0</v>
      </c>
      <c r="W139" s="865"/>
      <c r="X139" s="864">
        <f>X111/1000*$N$124*(1-$F$126)+X111/1000*$N$124*$F$126*$T$125</f>
        <v>0</v>
      </c>
      <c r="Y139" s="865"/>
    </row>
    <row r="140" spans="1:25" s="234" customFormat="1" hidden="1" x14ac:dyDescent="0.25">
      <c r="A140" s="331" t="str">
        <f t="shared" si="59"/>
        <v>Millet</v>
      </c>
      <c r="B140" s="864">
        <f>B112/1000*$N$124*(1-$F$126)+B112/1000*$N$124*$F$126*$T$126</f>
        <v>0</v>
      </c>
      <c r="C140" s="865"/>
      <c r="D140" s="864">
        <f>D112/1000*$N$124*(1-$F$126)+D112/1000*$N$124*$F$126*$T$126</f>
        <v>0</v>
      </c>
      <c r="E140" s="865"/>
      <c r="F140" s="864">
        <f>F112/1000*$N$124*(1-$F$126)+F112/1000*$N$124*$F$126*$T$126</f>
        <v>0</v>
      </c>
      <c r="G140" s="865"/>
      <c r="H140" s="864">
        <f>H112/1000*$N$124*(1-$F$126)+H112/1000*$N$124*$F$126*$T$126</f>
        <v>0</v>
      </c>
      <c r="I140" s="865"/>
      <c r="J140" s="864">
        <f>J112/1000*$N$124*(1-$F$126)+J112/1000*$N$124*$F$126*$T$126</f>
        <v>0</v>
      </c>
      <c r="K140" s="865"/>
      <c r="L140" s="864">
        <f>L112/1000*$N$124*(1-$F$126)+L112/1000*$N$124*$F$126*$T$126</f>
        <v>0</v>
      </c>
      <c r="M140" s="865"/>
      <c r="N140" s="864">
        <f>N112/1000*$N$124*(1-$F$126)+N112/1000*$N$124*$F$126*$T$126</f>
        <v>0</v>
      </c>
      <c r="O140" s="865"/>
      <c r="P140" s="864">
        <f>P112/1000*$N$124*(1-$F$126)+P112/1000*$N$124*$F$126*$T$126</f>
        <v>0</v>
      </c>
      <c r="Q140" s="865"/>
      <c r="R140" s="864">
        <f>R112/1000*$N$124*(1-$F$126)+R112/1000*$N$124*$F$126*$T$126</f>
        <v>0</v>
      </c>
      <c r="S140" s="865"/>
      <c r="T140" s="864">
        <f>T112/1000*$N$124*(1-$F$126)+T112/1000*$N$124*$F$126*$T$126</f>
        <v>0</v>
      </c>
      <c r="U140" s="865"/>
      <c r="V140" s="864">
        <f>V112/1000*$N$124*(1-$F$126)+V112/1000*$N$124*$F$126*$T$126</f>
        <v>0</v>
      </c>
      <c r="W140" s="865"/>
      <c r="X140" s="864">
        <f>X112/1000*$N$124*(1-$F$126)+X112/1000*$N$124*$F$126*$T$126</f>
        <v>0</v>
      </c>
      <c r="Y140" s="865"/>
    </row>
    <row r="141" spans="1:25" s="234" customFormat="1" hidden="1" x14ac:dyDescent="0.25">
      <c r="A141" s="331" t="str">
        <f t="shared" si="59"/>
        <v>Onion dry</v>
      </c>
      <c r="B141" s="864">
        <f>B113/1000*$N$124*(1-$F$126)+B113/1000*$N$124*$F$126*$T$127</f>
        <v>0</v>
      </c>
      <c r="C141" s="865"/>
      <c r="D141" s="864">
        <f>D113/1000*$N$124*(1-$F$126)+D113/1000*$N$124*$F$126*$T$127</f>
        <v>0</v>
      </c>
      <c r="E141" s="865"/>
      <c r="F141" s="864">
        <f>F113/1000*$N$124*(1-$F$126)+F113/1000*$N$124*$F$126*$T$127</f>
        <v>0</v>
      </c>
      <c r="G141" s="865"/>
      <c r="H141" s="864">
        <f>H113/1000*$N$124*(1-$F$126)+H113/1000*$N$124*$F$126*$T$127</f>
        <v>0</v>
      </c>
      <c r="I141" s="865"/>
      <c r="J141" s="864">
        <f>J113/1000*$N$124*(1-$F$126)+J113/1000*$N$124*$F$126*$T$127</f>
        <v>0</v>
      </c>
      <c r="K141" s="865"/>
      <c r="L141" s="864">
        <f>L113/1000*$N$124*(1-$F$126)+L113/1000*$N$124*$F$126*$T$127</f>
        <v>0</v>
      </c>
      <c r="M141" s="865"/>
      <c r="N141" s="864">
        <f>N113/1000*$N$124*(1-$F$126)+N113/1000*$N$124*$F$126*$T$127</f>
        <v>0</v>
      </c>
      <c r="O141" s="865"/>
      <c r="P141" s="864">
        <f>P113/1000*$N$124*(1-$F$126)+P113/1000*$N$124*$F$126*$T$127</f>
        <v>0</v>
      </c>
      <c r="Q141" s="865"/>
      <c r="R141" s="864">
        <f>R113/1000*$N$124*(1-$F$126)+R113/1000*$N$124*$F$126*$T$127</f>
        <v>0</v>
      </c>
      <c r="S141" s="865"/>
      <c r="T141" s="864">
        <f>T113/1000*$N$124*(1-$F$126)+T113/1000*$N$124*$F$126*$T$127</f>
        <v>0</v>
      </c>
      <c r="U141" s="865"/>
      <c r="V141" s="864">
        <f>V113/1000*$N$124*(1-$F$126)+V113/1000*$N$124*$F$126*$T$127</f>
        <v>0</v>
      </c>
      <c r="W141" s="865"/>
      <c r="X141" s="864">
        <f>X113/1000*$N$124*(1-$F$126)+X113/1000*$N$124*$F$126*$T$127</f>
        <v>0</v>
      </c>
      <c r="Y141" s="865"/>
    </row>
    <row r="142" spans="1:25" s="234" customFormat="1" hidden="1" x14ac:dyDescent="0.25">
      <c r="A142" s="331" t="str">
        <f t="shared" si="59"/>
        <v>Sorghum</v>
      </c>
      <c r="B142" s="864">
        <f>B114/1000*$N$124</f>
        <v>4424.7848153151044</v>
      </c>
      <c r="C142" s="865"/>
      <c r="D142" s="864">
        <f>D114/1000*$N$124</f>
        <v>0</v>
      </c>
      <c r="E142" s="865"/>
      <c r="F142" s="864">
        <f>F114/1000*$N$124</f>
        <v>0</v>
      </c>
      <c r="G142" s="865"/>
      <c r="H142" s="864">
        <f>H114/1000*$N$124</f>
        <v>3065.6408488051215</v>
      </c>
      <c r="I142" s="865"/>
      <c r="J142" s="864">
        <f>J114/1000*$N$124</f>
        <v>4024.7536686132034</v>
      </c>
      <c r="K142" s="865"/>
      <c r="L142" s="864">
        <f>L114/1000*$N$124</f>
        <v>4391.6976620120249</v>
      </c>
      <c r="M142" s="865"/>
      <c r="N142" s="864">
        <f>N114/1000*$N$124</f>
        <v>4267.558643228288</v>
      </c>
      <c r="O142" s="865"/>
      <c r="P142" s="864">
        <f>P114/1000*$N$124</f>
        <v>0</v>
      </c>
      <c r="Q142" s="865"/>
      <c r="R142" s="864">
        <f>R114/1000*$N$124</f>
        <v>0</v>
      </c>
      <c r="S142" s="865"/>
      <c r="T142" s="864">
        <f>T114/1000*$N$124</f>
        <v>4424.7848153151044</v>
      </c>
      <c r="U142" s="865"/>
      <c r="V142" s="864">
        <f>V114/1000*$N$124</f>
        <v>4183.9700454099802</v>
      </c>
      <c r="W142" s="865"/>
      <c r="X142" s="864">
        <f>X114/1000*$N$129</f>
        <v>856.8453215348402</v>
      </c>
      <c r="Y142" s="865"/>
    </row>
    <row r="143" spans="1:25" s="234" customFormat="1" hidden="1" x14ac:dyDescent="0.25">
      <c r="A143" s="331" t="str">
        <f t="shared" si="59"/>
        <v>Spinach</v>
      </c>
      <c r="B143" s="864">
        <f>B115/1000*$N$124</f>
        <v>4339.1438188896509</v>
      </c>
      <c r="C143" s="865"/>
      <c r="D143" s="864">
        <f>D115/1000*$N$130</f>
        <v>0</v>
      </c>
      <c r="E143" s="865"/>
      <c r="F143" s="864">
        <f>F115/1000*$N$130</f>
        <v>0</v>
      </c>
      <c r="G143" s="865"/>
      <c r="H143" s="864">
        <f>H115/1000*$N$130</f>
        <v>0</v>
      </c>
      <c r="I143" s="865"/>
      <c r="J143" s="864">
        <f>J115/1000*$N$130</f>
        <v>0</v>
      </c>
      <c r="K143" s="865"/>
      <c r="L143" s="864">
        <f>L115/1000*$N$124</f>
        <v>4306.0566655865714</v>
      </c>
      <c r="M143" s="865"/>
      <c r="N143" s="864">
        <f>N115/1000*$N$130</f>
        <v>0</v>
      </c>
      <c r="O143" s="865"/>
      <c r="P143" s="864">
        <f>P115/1000*$N$130</f>
        <v>0</v>
      </c>
      <c r="Q143" s="865"/>
      <c r="R143" s="864">
        <f>R115/1000*$N$130</f>
        <v>0</v>
      </c>
      <c r="S143" s="865"/>
      <c r="T143" s="864">
        <f>T115/1000*$N$130</f>
        <v>0</v>
      </c>
      <c r="U143" s="865"/>
      <c r="V143" s="864">
        <f>V115/1000*$N$130</f>
        <v>0</v>
      </c>
      <c r="W143" s="865"/>
      <c r="X143" s="864">
        <f>X115/1000*$N$130</f>
        <v>0</v>
      </c>
      <c r="Y143" s="865"/>
    </row>
    <row r="144" spans="1:25" s="234" customFormat="1" hidden="1" x14ac:dyDescent="0.25">
      <c r="A144" s="331" t="str">
        <f t="shared" si="59"/>
        <v>Tomato</v>
      </c>
      <c r="B144" s="864">
        <f>B116/1000*$N$131</f>
        <v>0</v>
      </c>
      <c r="C144" s="865"/>
      <c r="D144" s="864">
        <f>D116/1000*$N$131</f>
        <v>0</v>
      </c>
      <c r="E144" s="865"/>
      <c r="F144" s="864">
        <f>F116/1000*$N$131</f>
        <v>0</v>
      </c>
      <c r="G144" s="865"/>
      <c r="H144" s="864">
        <f>H116/1000*$N$131</f>
        <v>0</v>
      </c>
      <c r="I144" s="865"/>
      <c r="J144" s="864">
        <f>J116/1000*$N$131</f>
        <v>0</v>
      </c>
      <c r="K144" s="865"/>
      <c r="L144" s="864">
        <f>L116/1000*$N$131</f>
        <v>0</v>
      </c>
      <c r="M144" s="865"/>
      <c r="N144" s="864">
        <f>N116/1000*$N$131</f>
        <v>0</v>
      </c>
      <c r="O144" s="865"/>
      <c r="P144" s="864">
        <f>P116/1000*$N$131</f>
        <v>0</v>
      </c>
      <c r="Q144" s="865"/>
      <c r="R144" s="864">
        <f>R116/1000*$N$131</f>
        <v>0</v>
      </c>
      <c r="S144" s="865"/>
      <c r="T144" s="864">
        <f>T116/1000*$N$131</f>
        <v>0</v>
      </c>
      <c r="U144" s="865"/>
      <c r="V144" s="864">
        <f>V116/1000*$N$131</f>
        <v>0</v>
      </c>
      <c r="W144" s="865"/>
      <c r="X144" s="864">
        <f>X116/1000*$N$131</f>
        <v>0</v>
      </c>
      <c r="Y144" s="865"/>
    </row>
    <row r="145" spans="1:25" s="234" customFormat="1" x14ac:dyDescent="0.25">
      <c r="A145" s="322">
        <f>'1 - General Data'!J18</f>
        <v>2013</v>
      </c>
      <c r="B145" s="862">
        <f>SUM(B135:C144)</f>
        <v>11384.007868595978</v>
      </c>
      <c r="C145" s="863"/>
      <c r="D145" s="862">
        <f>SUM(D135:E144)</f>
        <v>0</v>
      </c>
      <c r="E145" s="863"/>
      <c r="F145" s="862">
        <f>SUM(F135:G144)</f>
        <v>0</v>
      </c>
      <c r="G145" s="863"/>
      <c r="H145" s="862">
        <f>SUM(H135:I144)</f>
        <v>3065.6408488051215</v>
      </c>
      <c r="I145" s="863"/>
      <c r="J145" s="862">
        <f>SUM(J135:K144)</f>
        <v>6424.8157723183795</v>
      </c>
      <c r="K145" s="863"/>
      <c r="L145" s="862">
        <f>SUM(L135:M144)</f>
        <v>11299.635627673124</v>
      </c>
      <c r="M145" s="863"/>
      <c r="N145" s="862">
        <f>SUM(N135:O144)</f>
        <v>6801.1634829717614</v>
      </c>
      <c r="O145" s="863"/>
      <c r="P145" s="862">
        <f>SUM(P135:Q144)</f>
        <v>0</v>
      </c>
      <c r="Q145" s="863"/>
      <c r="R145" s="862">
        <f>SUM(R135:S144)</f>
        <v>0</v>
      </c>
      <c r="S145" s="863"/>
      <c r="T145" s="862">
        <f>SUM(T135:U144)</f>
        <v>4424.7848153151044</v>
      </c>
      <c r="U145" s="863"/>
      <c r="V145" s="862">
        <f>SUM(V135:W144)</f>
        <v>6671.6011563533839</v>
      </c>
      <c r="W145" s="863"/>
      <c r="X145" s="862">
        <f>SUM(X135:Y144)</f>
        <v>3399.6175417235645</v>
      </c>
      <c r="Y145" s="863"/>
    </row>
    <row r="146" spans="1:25" x14ac:dyDescent="0.25">
      <c r="A146" s="2">
        <f>'1 - General Data'!J19</f>
        <v>2023</v>
      </c>
      <c r="B146" s="862">
        <f>B145*'1 - General Data'!$O$19</f>
        <v>15299.1546371885</v>
      </c>
      <c r="C146" s="863"/>
      <c r="D146" s="862">
        <f>D145*'1 - General Data'!$O$19</f>
        <v>0</v>
      </c>
      <c r="E146" s="863"/>
      <c r="F146" s="862">
        <f>F145*'1 - General Data'!$O$19</f>
        <v>0</v>
      </c>
      <c r="G146" s="863"/>
      <c r="H146" s="862">
        <f>H145*'1 - General Data'!$O$19</f>
        <v>4119.9649498956196</v>
      </c>
      <c r="I146" s="863"/>
      <c r="J146" s="862">
        <f>J145*'1 - General Data'!$O$19</f>
        <v>8634.415150687124</v>
      </c>
      <c r="K146" s="863"/>
      <c r="L146" s="862">
        <f>L145*'1 - General Data'!$O$19</f>
        <v>15185.765400650307</v>
      </c>
      <c r="M146" s="863"/>
      <c r="N146" s="862">
        <f>N145*'1 - General Data'!$O$19</f>
        <v>9140.1950033628655</v>
      </c>
      <c r="O146" s="863"/>
      <c r="P146" s="862">
        <f>P145*'1 - General Data'!$O$19</f>
        <v>0</v>
      </c>
      <c r="Q146" s="863"/>
      <c r="R146" s="862">
        <f>R145*'1 - General Data'!$O$19</f>
        <v>0</v>
      </c>
      <c r="S146" s="863"/>
      <c r="T146" s="862">
        <f>T145*'1 - General Data'!$O$19</f>
        <v>5946.5407883751241</v>
      </c>
      <c r="U146" s="863"/>
      <c r="V146" s="862">
        <f>V145*'1 - General Data'!$O$19</f>
        <v>8966.0740704744967</v>
      </c>
      <c r="W146" s="863"/>
      <c r="X146" s="862">
        <f>X145*'1 - General Data'!$O$19</f>
        <v>4568.8016978278965</v>
      </c>
      <c r="Y146" s="863"/>
    </row>
    <row r="147" spans="1:25" x14ac:dyDescent="0.25">
      <c r="A147" s="2">
        <f>'1 - General Data'!J20</f>
        <v>2033</v>
      </c>
      <c r="B147" s="862">
        <f>B145*'1 - General Data'!$O$20</f>
        <v>20560.784507036198</v>
      </c>
      <c r="C147" s="863"/>
      <c r="D147" s="862">
        <f>D145*'1 - General Data'!$O$20</f>
        <v>0</v>
      </c>
      <c r="E147" s="863"/>
      <c r="F147" s="862">
        <f>F145*'1 - General Data'!$O$20</f>
        <v>0</v>
      </c>
      <c r="G147" s="863"/>
      <c r="H147" s="862">
        <f>H145*'1 - General Data'!$O$20</f>
        <v>5536.8883784884065</v>
      </c>
      <c r="I147" s="863"/>
      <c r="J147" s="862">
        <f>J145*'1 - General Data'!$O$20</f>
        <v>11603.931947065468</v>
      </c>
      <c r="K147" s="863"/>
      <c r="L147" s="862">
        <f>L145*'1 - General Data'!$O$20</f>
        <v>20408.398854811196</v>
      </c>
      <c r="M147" s="863"/>
      <c r="N147" s="862">
        <f>N145*'1 - General Data'!$O$20</f>
        <v>12283.657775418655</v>
      </c>
      <c r="O147" s="863"/>
      <c r="P147" s="862">
        <f>P145*'1 - General Data'!$O$20</f>
        <v>0</v>
      </c>
      <c r="Q147" s="863"/>
      <c r="R147" s="862">
        <f>R145*'1 - General Data'!$O$20</f>
        <v>0</v>
      </c>
      <c r="S147" s="863"/>
      <c r="T147" s="862">
        <f>T145*'1 - General Data'!$O$20</f>
        <v>7991.6535659352348</v>
      </c>
      <c r="U147" s="863"/>
      <c r="V147" s="862">
        <f>V145*'1 - General Data'!$O$20</f>
        <v>12049.653801723296</v>
      </c>
      <c r="W147" s="863"/>
      <c r="X147" s="862">
        <f>X145*'1 - General Data'!$O$20</f>
        <v>6140.0874356861423</v>
      </c>
      <c r="Y147" s="863"/>
    </row>
    <row r="148" spans="1:25" x14ac:dyDescent="0.25">
      <c r="A148" s="2"/>
      <c r="B148" s="372"/>
      <c r="C148" s="372"/>
      <c r="D148" s="372"/>
      <c r="E148" s="372"/>
      <c r="F148" s="372"/>
      <c r="G148" s="372"/>
      <c r="H148" s="372"/>
      <c r="I148" s="372"/>
      <c r="J148" s="372"/>
      <c r="K148" s="372"/>
      <c r="L148" s="372"/>
      <c r="M148" s="372"/>
      <c r="N148" s="372"/>
      <c r="O148" s="372"/>
      <c r="P148" s="372"/>
      <c r="Q148" s="372"/>
      <c r="R148" s="372"/>
      <c r="S148" s="372"/>
      <c r="T148" s="372"/>
      <c r="U148" s="372"/>
      <c r="V148" s="372"/>
      <c r="W148" s="372"/>
      <c r="X148" s="372"/>
      <c r="Y148" s="372"/>
    </row>
    <row r="149" spans="1:25" s="7" customFormat="1" x14ac:dyDescent="0.25">
      <c r="C149" s="288" t="s">
        <v>181</v>
      </c>
      <c r="D149" s="288"/>
      <c r="E149" s="288"/>
      <c r="F149" s="288"/>
    </row>
    <row r="150" spans="1:25" s="234" customFormat="1" ht="27.75" customHeight="1" x14ac:dyDescent="0.25">
      <c r="A150" s="343"/>
      <c r="B150" s="897" t="s">
        <v>180</v>
      </c>
      <c r="C150" s="898"/>
      <c r="D150" s="876"/>
      <c r="E150" s="876"/>
      <c r="F150" s="876"/>
      <c r="G150" s="876"/>
      <c r="H150" s="876"/>
      <c r="I150" s="876"/>
      <c r="J150" s="876"/>
      <c r="K150" s="876"/>
      <c r="L150" s="876"/>
      <c r="M150" s="876"/>
      <c r="N150" s="876"/>
      <c r="O150" s="876"/>
      <c r="P150" s="876"/>
      <c r="Q150" s="876"/>
      <c r="R150" s="876"/>
      <c r="S150" s="876"/>
      <c r="T150" s="896"/>
      <c r="U150" s="896"/>
      <c r="V150" s="876"/>
      <c r="W150" s="876"/>
      <c r="X150" s="876"/>
      <c r="Y150" s="876"/>
    </row>
    <row r="151" spans="1:25" s="234" customFormat="1" hidden="1" x14ac:dyDescent="0.25">
      <c r="A151" s="331">
        <f>A122</f>
        <v>0</v>
      </c>
      <c r="B151" s="864">
        <f>B122/1000*$N$121</f>
        <v>0</v>
      </c>
      <c r="C151" s="865"/>
      <c r="D151" s="896"/>
      <c r="E151" s="896"/>
      <c r="F151" s="896"/>
      <c r="G151" s="896"/>
      <c r="H151" s="896"/>
      <c r="I151" s="896"/>
      <c r="J151" s="896"/>
      <c r="K151" s="896"/>
      <c r="L151" s="896"/>
      <c r="M151" s="896"/>
      <c r="N151" s="896"/>
      <c r="O151" s="896"/>
      <c r="P151" s="896"/>
      <c r="Q151" s="896"/>
      <c r="R151" s="896"/>
      <c r="S151" s="896"/>
      <c r="T151" s="896"/>
      <c r="U151" s="896"/>
      <c r="V151" s="896"/>
      <c r="W151" s="896"/>
      <c r="X151" s="896"/>
      <c r="Y151" s="896"/>
    </row>
    <row r="152" spans="1:25" s="234" customFormat="1" hidden="1" x14ac:dyDescent="0.25">
      <c r="A152" s="331">
        <f>A123</f>
        <v>0</v>
      </c>
      <c r="B152" s="864">
        <f>B123/1000*$N$122</f>
        <v>0</v>
      </c>
      <c r="C152" s="865"/>
      <c r="D152" s="896"/>
      <c r="E152" s="896"/>
      <c r="F152" s="896"/>
      <c r="G152" s="896"/>
      <c r="H152" s="896"/>
      <c r="I152" s="896"/>
      <c r="J152" s="896"/>
      <c r="K152" s="896"/>
      <c r="L152" s="896"/>
      <c r="M152" s="896"/>
      <c r="N152" s="896"/>
      <c r="O152" s="896"/>
      <c r="P152" s="896"/>
      <c r="Q152" s="896"/>
      <c r="R152" s="896"/>
      <c r="S152" s="896"/>
      <c r="T152" s="896"/>
      <c r="U152" s="896"/>
      <c r="V152" s="896"/>
      <c r="W152" s="896"/>
      <c r="X152" s="896"/>
      <c r="Y152" s="896"/>
    </row>
    <row r="153" spans="1:25" s="234" customFormat="1" hidden="1" x14ac:dyDescent="0.25">
      <c r="A153" s="331">
        <f>A124</f>
        <v>0</v>
      </c>
      <c r="B153" s="864" t="e">
        <f>#REF!/1000*$N$123</f>
        <v>#REF!</v>
      </c>
      <c r="C153" s="865"/>
      <c r="D153" s="896"/>
      <c r="E153" s="896"/>
      <c r="F153" s="896"/>
      <c r="G153" s="896"/>
      <c r="H153" s="896"/>
      <c r="I153" s="896"/>
      <c r="J153" s="896"/>
      <c r="K153" s="896"/>
      <c r="L153" s="896"/>
      <c r="M153" s="896"/>
      <c r="N153" s="896"/>
      <c r="O153" s="896"/>
      <c r="P153" s="896"/>
      <c r="Q153" s="896"/>
      <c r="R153" s="896"/>
      <c r="S153" s="896"/>
      <c r="T153" s="896"/>
      <c r="U153" s="896"/>
      <c r="V153" s="896"/>
      <c r="W153" s="896"/>
      <c r="X153" s="896"/>
      <c r="Y153" s="896"/>
    </row>
    <row r="154" spans="1:25" s="234" customFormat="1" hidden="1" x14ac:dyDescent="0.25">
      <c r="A154" s="331">
        <f>A129</f>
        <v>0</v>
      </c>
      <c r="B154" s="864">
        <f>B129/1000*$N$124</f>
        <v>0</v>
      </c>
      <c r="C154" s="865"/>
      <c r="D154" s="896"/>
      <c r="E154" s="896"/>
      <c r="F154" s="896"/>
      <c r="G154" s="896"/>
      <c r="H154" s="896"/>
      <c r="I154" s="896"/>
      <c r="J154" s="896"/>
      <c r="K154" s="896"/>
      <c r="L154" s="896"/>
      <c r="M154" s="896"/>
      <c r="N154" s="896"/>
      <c r="O154" s="896"/>
      <c r="P154" s="896"/>
      <c r="Q154" s="896"/>
      <c r="R154" s="896"/>
      <c r="S154" s="896"/>
      <c r="T154" s="896"/>
      <c r="U154" s="896"/>
      <c r="V154" s="896"/>
      <c r="W154" s="896"/>
      <c r="X154" s="896"/>
      <c r="Y154" s="896"/>
    </row>
    <row r="155" spans="1:25" s="234" customFormat="1" hidden="1" x14ac:dyDescent="0.25">
      <c r="A155" s="331">
        <f>A130</f>
        <v>0</v>
      </c>
      <c r="B155" s="864">
        <f>B130/1000*$N$129</f>
        <v>0</v>
      </c>
      <c r="C155" s="865"/>
      <c r="D155" s="896"/>
      <c r="E155" s="896"/>
      <c r="F155" s="896"/>
      <c r="G155" s="896"/>
      <c r="H155" s="896"/>
      <c r="I155" s="896"/>
      <c r="J155" s="896"/>
      <c r="K155" s="896"/>
      <c r="L155" s="896"/>
      <c r="M155" s="896"/>
      <c r="N155" s="896"/>
      <c r="O155" s="896"/>
      <c r="P155" s="896"/>
      <c r="Q155" s="896"/>
      <c r="R155" s="896"/>
      <c r="S155" s="896"/>
      <c r="T155" s="896"/>
      <c r="U155" s="896"/>
      <c r="V155" s="896"/>
      <c r="W155" s="896"/>
      <c r="X155" s="896"/>
      <c r="Y155" s="896"/>
    </row>
    <row r="156" spans="1:25" s="234" customFormat="1" hidden="1" x14ac:dyDescent="0.25">
      <c r="A156" s="331">
        <f>A131</f>
        <v>0</v>
      </c>
      <c r="B156" s="864">
        <f>B131/1000*$N$130</f>
        <v>0</v>
      </c>
      <c r="C156" s="865"/>
      <c r="D156" s="896"/>
      <c r="E156" s="896"/>
      <c r="F156" s="896"/>
      <c r="G156" s="896"/>
      <c r="H156" s="896"/>
      <c r="I156" s="896"/>
      <c r="J156" s="896"/>
      <c r="K156" s="896"/>
      <c r="L156" s="896"/>
      <c r="M156" s="896"/>
      <c r="N156" s="896"/>
      <c r="O156" s="896"/>
      <c r="P156" s="896"/>
      <c r="Q156" s="896"/>
      <c r="R156" s="896"/>
      <c r="S156" s="896"/>
      <c r="T156" s="896"/>
      <c r="U156" s="896"/>
      <c r="V156" s="896"/>
      <c r="W156" s="896"/>
      <c r="X156" s="896"/>
      <c r="Y156" s="896"/>
    </row>
    <row r="157" spans="1:25" s="234" customFormat="1" hidden="1" x14ac:dyDescent="0.25">
      <c r="A157" s="331" t="e">
        <f>#REF!</f>
        <v>#REF!</v>
      </c>
      <c r="B157" s="864" t="e">
        <f>#REF!/1000*$N$131</f>
        <v>#REF!</v>
      </c>
      <c r="C157" s="865"/>
      <c r="D157" s="896"/>
      <c r="E157" s="896"/>
      <c r="F157" s="896"/>
      <c r="G157" s="896"/>
      <c r="H157" s="896"/>
      <c r="I157" s="896"/>
      <c r="J157" s="896"/>
      <c r="K157" s="896"/>
      <c r="L157" s="896"/>
      <c r="M157" s="896"/>
      <c r="N157" s="896"/>
      <c r="O157" s="896"/>
      <c r="P157" s="896"/>
      <c r="Q157" s="896"/>
      <c r="R157" s="896"/>
      <c r="S157" s="896"/>
      <c r="T157" s="896"/>
      <c r="U157" s="896"/>
      <c r="V157" s="896"/>
      <c r="W157" s="896"/>
      <c r="X157" s="896"/>
      <c r="Y157" s="896"/>
    </row>
    <row r="158" spans="1:25" s="234" customFormat="1" x14ac:dyDescent="0.25">
      <c r="A158" s="322">
        <f>A145</f>
        <v>2013</v>
      </c>
      <c r="B158" s="862">
        <f>SUM(B145:Y145)</f>
        <v>53471.267113756418</v>
      </c>
      <c r="C158" s="863"/>
      <c r="D158" s="899"/>
      <c r="E158" s="899"/>
      <c r="F158" s="899"/>
      <c r="G158" s="899"/>
      <c r="H158" s="899"/>
      <c r="I158" s="899"/>
      <c r="J158" s="899"/>
      <c r="K158" s="899"/>
      <c r="L158" s="899"/>
      <c r="M158" s="899"/>
      <c r="N158" s="899"/>
      <c r="O158" s="899"/>
      <c r="P158" s="899"/>
      <c r="Q158" s="899"/>
      <c r="R158" s="899"/>
      <c r="S158" s="899"/>
      <c r="T158" s="899"/>
      <c r="U158" s="899"/>
      <c r="V158" s="899"/>
      <c r="W158" s="899"/>
      <c r="X158" s="899"/>
      <c r="Y158" s="899"/>
    </row>
    <row r="159" spans="1:25" x14ac:dyDescent="0.25">
      <c r="A159" s="322">
        <f>A146</f>
        <v>2023</v>
      </c>
      <c r="B159" s="862">
        <f>SUM(B146:Y146)</f>
        <v>71860.911698461932</v>
      </c>
      <c r="C159" s="863"/>
      <c r="D159" s="899"/>
      <c r="E159" s="899"/>
      <c r="F159" s="899"/>
      <c r="G159" s="899"/>
      <c r="H159" s="899"/>
      <c r="I159" s="899"/>
      <c r="J159" s="899"/>
      <c r="K159" s="899"/>
      <c r="L159" s="899"/>
      <c r="M159" s="899"/>
      <c r="N159" s="899"/>
      <c r="O159" s="899"/>
      <c r="P159" s="899"/>
      <c r="Q159" s="899"/>
      <c r="R159" s="899"/>
      <c r="S159" s="899"/>
      <c r="T159" s="899"/>
      <c r="U159" s="899"/>
      <c r="V159" s="899"/>
      <c r="W159" s="899"/>
      <c r="X159" s="899"/>
      <c r="Y159" s="899"/>
    </row>
    <row r="160" spans="1:25" x14ac:dyDescent="0.25">
      <c r="A160" s="322">
        <f>A147</f>
        <v>2033</v>
      </c>
      <c r="B160" s="862">
        <f>SUM(B147:Y147)</f>
        <v>96575.056266164596</v>
      </c>
      <c r="C160" s="863"/>
      <c r="D160" s="899"/>
      <c r="E160" s="899"/>
      <c r="F160" s="899"/>
      <c r="G160" s="899"/>
      <c r="H160" s="899"/>
      <c r="I160" s="899"/>
      <c r="J160" s="899"/>
      <c r="K160" s="899"/>
      <c r="L160" s="899"/>
      <c r="M160" s="899"/>
      <c r="N160" s="899"/>
      <c r="O160" s="899"/>
      <c r="P160" s="899"/>
      <c r="Q160" s="899"/>
      <c r="R160" s="899"/>
      <c r="S160" s="899"/>
      <c r="T160" s="899"/>
      <c r="U160" s="899"/>
      <c r="V160" s="899"/>
      <c r="W160" s="899"/>
      <c r="X160" s="899"/>
      <c r="Y160" s="899"/>
    </row>
    <row r="162" spans="1:25" s="7" customFormat="1" x14ac:dyDescent="0.25">
      <c r="C162" s="288" t="s">
        <v>182</v>
      </c>
      <c r="D162" s="288"/>
      <c r="E162" s="288"/>
      <c r="F162" s="288"/>
    </row>
    <row r="163" spans="1:25" s="234" customFormat="1" x14ac:dyDescent="0.25">
      <c r="A163" s="373"/>
      <c r="B163" s="846" t="s">
        <v>92</v>
      </c>
      <c r="C163" s="830"/>
      <c r="D163" s="846" t="s">
        <v>93</v>
      </c>
      <c r="E163" s="830"/>
      <c r="F163" s="846" t="s">
        <v>94</v>
      </c>
      <c r="G163" s="830"/>
      <c r="H163" s="846" t="s">
        <v>95</v>
      </c>
      <c r="I163" s="830"/>
      <c r="J163" s="846" t="s">
        <v>96</v>
      </c>
      <c r="K163" s="830"/>
      <c r="L163" s="846" t="s">
        <v>97</v>
      </c>
      <c r="M163" s="830"/>
      <c r="N163" s="846" t="s">
        <v>98</v>
      </c>
      <c r="O163" s="830"/>
      <c r="P163" s="846" t="s">
        <v>99</v>
      </c>
      <c r="Q163" s="830"/>
      <c r="R163" s="846" t="s">
        <v>100</v>
      </c>
      <c r="S163" s="830"/>
      <c r="T163" s="864" t="s">
        <v>101</v>
      </c>
      <c r="U163" s="865"/>
      <c r="V163" s="846" t="s">
        <v>102</v>
      </c>
      <c r="W163" s="830"/>
      <c r="X163" s="846" t="s">
        <v>103</v>
      </c>
      <c r="Y163" s="830"/>
    </row>
    <row r="164" spans="1:25" s="234" customFormat="1" x14ac:dyDescent="0.25">
      <c r="A164" s="322">
        <f>A145</f>
        <v>2013</v>
      </c>
      <c r="B164" s="862">
        <f>B145/30</f>
        <v>379.46692895319927</v>
      </c>
      <c r="C164" s="863"/>
      <c r="D164" s="862">
        <f>D145/30</f>
        <v>0</v>
      </c>
      <c r="E164" s="863"/>
      <c r="F164" s="862">
        <f>F145/30</f>
        <v>0</v>
      </c>
      <c r="G164" s="863"/>
      <c r="H164" s="862">
        <f>H145/30</f>
        <v>102.18802829350405</v>
      </c>
      <c r="I164" s="863"/>
      <c r="J164" s="862">
        <f>J145/30</f>
        <v>214.16052574394598</v>
      </c>
      <c r="K164" s="863"/>
      <c r="L164" s="862">
        <f>L145/30</f>
        <v>376.65452092243748</v>
      </c>
      <c r="M164" s="863"/>
      <c r="N164" s="862">
        <f>N145/30</f>
        <v>226.70544943239204</v>
      </c>
      <c r="O164" s="863"/>
      <c r="P164" s="862">
        <f>P145/30</f>
        <v>0</v>
      </c>
      <c r="Q164" s="863"/>
      <c r="R164" s="862">
        <f>R145/30</f>
        <v>0</v>
      </c>
      <c r="S164" s="863"/>
      <c r="T164" s="862">
        <f>T145/30</f>
        <v>147.49282717717014</v>
      </c>
      <c r="U164" s="863"/>
      <c r="V164" s="862">
        <f>V145/30</f>
        <v>222.38670521177946</v>
      </c>
      <c r="W164" s="863"/>
      <c r="X164" s="862">
        <f>X145/30</f>
        <v>113.32058472411882</v>
      </c>
      <c r="Y164" s="863"/>
    </row>
    <row r="165" spans="1:25" x14ac:dyDescent="0.25">
      <c r="A165" s="322">
        <f>A146</f>
        <v>2023</v>
      </c>
      <c r="B165" s="862">
        <f>B146/30</f>
        <v>509.97182123961665</v>
      </c>
      <c r="C165" s="863"/>
      <c r="D165" s="862">
        <f>D146/30</f>
        <v>0</v>
      </c>
      <c r="E165" s="863"/>
      <c r="F165" s="862">
        <f>F146/30</f>
        <v>0</v>
      </c>
      <c r="G165" s="863"/>
      <c r="H165" s="862">
        <f>H146/30</f>
        <v>137.33216499652065</v>
      </c>
      <c r="I165" s="863"/>
      <c r="J165" s="862">
        <f>J146/30</f>
        <v>287.81383835623745</v>
      </c>
      <c r="K165" s="863"/>
      <c r="L165" s="862">
        <f>L146/30</f>
        <v>506.1921800216769</v>
      </c>
      <c r="M165" s="863"/>
      <c r="N165" s="862">
        <f>N146/30</f>
        <v>304.67316677876221</v>
      </c>
      <c r="O165" s="863"/>
      <c r="P165" s="862">
        <f>P146/30</f>
        <v>0</v>
      </c>
      <c r="Q165" s="863"/>
      <c r="R165" s="862">
        <f>R146/30</f>
        <v>0</v>
      </c>
      <c r="S165" s="863"/>
      <c r="T165" s="862">
        <f>T146/30</f>
        <v>198.2180262791708</v>
      </c>
      <c r="U165" s="863"/>
      <c r="V165" s="862">
        <f>V146/30</f>
        <v>298.8691356824832</v>
      </c>
      <c r="W165" s="863"/>
      <c r="X165" s="862">
        <f>X146/30</f>
        <v>152.29338992759656</v>
      </c>
      <c r="Y165" s="863"/>
    </row>
    <row r="166" spans="1:25" x14ac:dyDescent="0.25">
      <c r="A166" s="322">
        <f>A147</f>
        <v>2033</v>
      </c>
      <c r="B166" s="862">
        <f>B147/30</f>
        <v>685.35948356787333</v>
      </c>
      <c r="C166" s="863"/>
      <c r="D166" s="862">
        <f>D147/30</f>
        <v>0</v>
      </c>
      <c r="E166" s="863"/>
      <c r="F166" s="862">
        <f>F147/30</f>
        <v>0</v>
      </c>
      <c r="G166" s="863"/>
      <c r="H166" s="862">
        <f>H147/30</f>
        <v>184.56294594961355</v>
      </c>
      <c r="I166" s="863"/>
      <c r="J166" s="862">
        <f>J147/30</f>
        <v>386.79773156884892</v>
      </c>
      <c r="K166" s="863"/>
      <c r="L166" s="862">
        <f>L147/30</f>
        <v>680.27996182703987</v>
      </c>
      <c r="M166" s="863"/>
      <c r="N166" s="862">
        <f>N147/30</f>
        <v>409.45525918062179</v>
      </c>
      <c r="O166" s="863"/>
      <c r="P166" s="862">
        <f>P147/30</f>
        <v>0</v>
      </c>
      <c r="Q166" s="863"/>
      <c r="R166" s="862">
        <f>R147/30</f>
        <v>0</v>
      </c>
      <c r="S166" s="863"/>
      <c r="T166" s="862">
        <f>T147/30</f>
        <v>266.38845219784116</v>
      </c>
      <c r="U166" s="863"/>
      <c r="V166" s="862">
        <f>V147/30</f>
        <v>401.65512672410989</v>
      </c>
      <c r="W166" s="863"/>
      <c r="X166" s="862">
        <f>X147/30</f>
        <v>204.66958118953806</v>
      </c>
      <c r="Y166" s="863"/>
    </row>
    <row r="167" spans="1:25" s="7" customFormat="1" x14ac:dyDescent="0.25"/>
    <row r="168" spans="1:25" s="234" customFormat="1" ht="27.75" customHeight="1" x14ac:dyDescent="0.25">
      <c r="A168" s="373"/>
      <c r="B168" s="897" t="s">
        <v>190</v>
      </c>
      <c r="C168" s="898"/>
      <c r="D168" s="826"/>
      <c r="E168" s="876"/>
      <c r="F168" s="876"/>
      <c r="G168" s="876"/>
      <c r="H168" s="876"/>
      <c r="I168" s="876"/>
      <c r="J168" s="876"/>
      <c r="K168" s="876"/>
      <c r="L168" s="876"/>
      <c r="M168" s="876"/>
      <c r="N168" s="876"/>
      <c r="O168" s="876"/>
      <c r="P168" s="876"/>
      <c r="Q168" s="876"/>
      <c r="R168" s="876"/>
      <c r="S168" s="876"/>
      <c r="T168" s="896"/>
      <c r="U168" s="896"/>
      <c r="V168" s="876"/>
      <c r="W168" s="876"/>
      <c r="X168" s="876"/>
      <c r="Y168" s="876"/>
    </row>
    <row r="169" spans="1:25" s="234" customFormat="1" ht="15" hidden="1" customHeight="1" x14ac:dyDescent="0.25">
      <c r="A169" s="331" t="str">
        <f>A138</f>
        <v>Maize</v>
      </c>
      <c r="B169" s="864">
        <f>B138/1000*$N$121</f>
        <v>0</v>
      </c>
      <c r="C169" s="865"/>
      <c r="D169" s="900"/>
      <c r="E169" s="896"/>
      <c r="F169" s="896"/>
      <c r="G169" s="896"/>
      <c r="H169" s="896"/>
      <c r="I169" s="896"/>
      <c r="J169" s="896"/>
      <c r="K169" s="896"/>
      <c r="L169" s="896"/>
      <c r="M169" s="896"/>
      <c r="N169" s="896"/>
      <c r="O169" s="896"/>
      <c r="P169" s="896"/>
      <c r="Q169" s="896"/>
      <c r="R169" s="896"/>
      <c r="S169" s="896"/>
      <c r="T169" s="896"/>
      <c r="U169" s="896"/>
      <c r="V169" s="896"/>
      <c r="W169" s="896"/>
      <c r="X169" s="896"/>
      <c r="Y169" s="896"/>
    </row>
    <row r="170" spans="1:25" s="234" customFormat="1" ht="15" hidden="1" customHeight="1" x14ac:dyDescent="0.25">
      <c r="A170" s="331" t="str">
        <f t="shared" ref="A170:A175" si="60">A142</f>
        <v>Sorghum</v>
      </c>
      <c r="B170" s="864">
        <f>B142/1000*$N$122</f>
        <v>0</v>
      </c>
      <c r="C170" s="865"/>
      <c r="D170" s="900"/>
      <c r="E170" s="896"/>
      <c r="F170" s="896"/>
      <c r="G170" s="896"/>
      <c r="H170" s="896"/>
      <c r="I170" s="896"/>
      <c r="J170" s="896"/>
      <c r="K170" s="896"/>
      <c r="L170" s="896"/>
      <c r="M170" s="896"/>
      <c r="N170" s="896"/>
      <c r="O170" s="896"/>
      <c r="P170" s="896"/>
      <c r="Q170" s="896"/>
      <c r="R170" s="896"/>
      <c r="S170" s="896"/>
      <c r="T170" s="896"/>
      <c r="U170" s="896"/>
      <c r="V170" s="896"/>
      <c r="W170" s="896"/>
      <c r="X170" s="896"/>
      <c r="Y170" s="896"/>
    </row>
    <row r="171" spans="1:25" s="234" customFormat="1" ht="15" hidden="1" customHeight="1" x14ac:dyDescent="0.25">
      <c r="A171" s="331" t="str">
        <f t="shared" si="60"/>
        <v>Spinach</v>
      </c>
      <c r="B171" s="864">
        <f>B143/1000*$N$123</f>
        <v>0</v>
      </c>
      <c r="C171" s="865"/>
      <c r="D171" s="900"/>
      <c r="E171" s="896"/>
      <c r="F171" s="896"/>
      <c r="G171" s="896"/>
      <c r="H171" s="896"/>
      <c r="I171" s="896"/>
      <c r="J171" s="896"/>
      <c r="K171" s="896"/>
      <c r="L171" s="896"/>
      <c r="M171" s="896"/>
      <c r="N171" s="896"/>
      <c r="O171" s="896"/>
      <c r="P171" s="896"/>
      <c r="Q171" s="896"/>
      <c r="R171" s="896"/>
      <c r="S171" s="896"/>
      <c r="T171" s="896"/>
      <c r="U171" s="896"/>
      <c r="V171" s="896"/>
      <c r="W171" s="896"/>
      <c r="X171" s="896"/>
      <c r="Y171" s="896"/>
    </row>
    <row r="172" spans="1:25" s="234" customFormat="1" ht="15" hidden="1" customHeight="1" x14ac:dyDescent="0.25">
      <c r="A172" s="331" t="str">
        <f t="shared" si="60"/>
        <v>Tomato</v>
      </c>
      <c r="B172" s="864">
        <f>B144/1000*$N$124</f>
        <v>0</v>
      </c>
      <c r="C172" s="865"/>
      <c r="D172" s="900"/>
      <c r="E172" s="896"/>
      <c r="F172" s="896"/>
      <c r="G172" s="896"/>
      <c r="H172" s="896"/>
      <c r="I172" s="896"/>
      <c r="J172" s="896"/>
      <c r="K172" s="896"/>
      <c r="L172" s="896"/>
      <c r="M172" s="896"/>
      <c r="N172" s="896"/>
      <c r="O172" s="896"/>
      <c r="P172" s="896"/>
      <c r="Q172" s="896"/>
      <c r="R172" s="896"/>
      <c r="S172" s="896"/>
      <c r="T172" s="896"/>
      <c r="U172" s="896"/>
      <c r="V172" s="896"/>
      <c r="W172" s="896"/>
      <c r="X172" s="896"/>
      <c r="Y172" s="896"/>
    </row>
    <row r="173" spans="1:25" s="234" customFormat="1" hidden="1" x14ac:dyDescent="0.25">
      <c r="A173" s="331">
        <f t="shared" si="60"/>
        <v>2013</v>
      </c>
      <c r="B173" s="864">
        <f>B145/1000*$N$129</f>
        <v>50977.138676170682</v>
      </c>
      <c r="C173" s="865"/>
      <c r="D173" s="896"/>
      <c r="E173" s="896"/>
      <c r="F173" s="896"/>
      <c r="G173" s="896"/>
      <c r="H173" s="896"/>
      <c r="I173" s="896"/>
      <c r="J173" s="896"/>
      <c r="K173" s="896"/>
      <c r="L173" s="896"/>
      <c r="M173" s="896"/>
      <c r="N173" s="896"/>
      <c r="O173" s="896"/>
      <c r="P173" s="896"/>
      <c r="Q173" s="896"/>
      <c r="R173" s="896"/>
      <c r="S173" s="896"/>
      <c r="T173" s="896"/>
      <c r="U173" s="896"/>
      <c r="V173" s="896"/>
      <c r="W173" s="896"/>
      <c r="X173" s="896"/>
      <c r="Y173" s="896"/>
    </row>
    <row r="174" spans="1:25" s="234" customFormat="1" hidden="1" x14ac:dyDescent="0.25">
      <c r="A174" s="331">
        <f t="shared" si="60"/>
        <v>2023</v>
      </c>
      <c r="B174" s="864">
        <f>B146/1000*$N$130</f>
        <v>0</v>
      </c>
      <c r="C174" s="865"/>
      <c r="D174" s="896"/>
      <c r="E174" s="896"/>
      <c r="F174" s="896"/>
      <c r="G174" s="896"/>
      <c r="H174" s="896"/>
      <c r="I174" s="896"/>
      <c r="J174" s="896"/>
      <c r="K174" s="896"/>
      <c r="L174" s="896"/>
      <c r="M174" s="896"/>
      <c r="N174" s="896"/>
      <c r="O174" s="896"/>
      <c r="P174" s="896"/>
      <c r="Q174" s="896"/>
      <c r="R174" s="896"/>
      <c r="S174" s="896"/>
      <c r="T174" s="896"/>
      <c r="U174" s="896"/>
      <c r="V174" s="896"/>
      <c r="W174" s="896"/>
      <c r="X174" s="896"/>
      <c r="Y174" s="896"/>
    </row>
    <row r="175" spans="1:25" s="234" customFormat="1" hidden="1" x14ac:dyDescent="0.25">
      <c r="A175" s="331">
        <f t="shared" si="60"/>
        <v>2033</v>
      </c>
      <c r="B175" s="864">
        <f>B147/1000*$N$131</f>
        <v>0</v>
      </c>
      <c r="C175" s="865"/>
      <c r="D175" s="896"/>
      <c r="E175" s="896"/>
      <c r="F175" s="896"/>
      <c r="G175" s="896"/>
      <c r="H175" s="896"/>
      <c r="I175" s="896"/>
      <c r="J175" s="896"/>
      <c r="K175" s="896"/>
      <c r="L175" s="896"/>
      <c r="M175" s="896"/>
      <c r="N175" s="896"/>
      <c r="O175" s="896"/>
      <c r="P175" s="896"/>
      <c r="Q175" s="896"/>
      <c r="R175" s="896"/>
      <c r="S175" s="896"/>
      <c r="T175" s="896"/>
      <c r="U175" s="896"/>
      <c r="V175" s="896"/>
      <c r="W175" s="896"/>
      <c r="X175" s="896"/>
      <c r="Y175" s="896"/>
    </row>
    <row r="176" spans="1:25" s="234" customFormat="1" x14ac:dyDescent="0.25">
      <c r="A176" s="322">
        <f>A158</f>
        <v>2013</v>
      </c>
      <c r="B176" s="862">
        <f>B158/365</f>
        <v>146.49662222946964</v>
      </c>
      <c r="C176" s="863"/>
      <c r="D176" s="899"/>
      <c r="E176" s="899"/>
      <c r="F176" s="899"/>
      <c r="G176" s="899"/>
      <c r="H176" s="899"/>
      <c r="I176" s="899"/>
      <c r="J176" s="899"/>
      <c r="K176" s="899"/>
      <c r="L176" s="899"/>
      <c r="M176" s="899"/>
      <c r="N176" s="899"/>
      <c r="O176" s="899"/>
      <c r="P176" s="899"/>
      <c r="Q176" s="899"/>
      <c r="R176" s="899"/>
      <c r="S176" s="899"/>
      <c r="T176" s="899"/>
      <c r="U176" s="899"/>
      <c r="V176" s="899"/>
      <c r="W176" s="899"/>
      <c r="X176" s="899"/>
      <c r="Y176" s="899"/>
    </row>
    <row r="177" spans="1:25" x14ac:dyDescent="0.25">
      <c r="A177" s="322">
        <f>A159</f>
        <v>2023</v>
      </c>
      <c r="B177" s="862">
        <f>B159/365</f>
        <v>196.87921013277241</v>
      </c>
      <c r="C177" s="863"/>
      <c r="D177" s="899"/>
      <c r="E177" s="899"/>
      <c r="F177" s="899"/>
      <c r="G177" s="899"/>
      <c r="H177" s="899"/>
      <c r="I177" s="899"/>
      <c r="J177" s="899"/>
      <c r="K177" s="899"/>
      <c r="L177" s="899"/>
      <c r="M177" s="899"/>
      <c r="N177" s="899"/>
      <c r="O177" s="899"/>
      <c r="P177" s="899"/>
      <c r="Q177" s="899"/>
      <c r="R177" s="899"/>
      <c r="S177" s="899"/>
      <c r="T177" s="899"/>
      <c r="U177" s="899"/>
      <c r="V177" s="899"/>
      <c r="W177" s="899"/>
      <c r="X177" s="899"/>
      <c r="Y177" s="899"/>
    </row>
    <row r="178" spans="1:25" x14ac:dyDescent="0.25">
      <c r="A178" s="322">
        <f>A160</f>
        <v>2033</v>
      </c>
      <c r="B178" s="862">
        <f>B160/365</f>
        <v>264.58919524976602</v>
      </c>
      <c r="C178" s="863"/>
      <c r="D178" s="899"/>
      <c r="E178" s="899"/>
      <c r="F178" s="899"/>
      <c r="G178" s="899"/>
      <c r="H178" s="899"/>
      <c r="I178" s="899"/>
      <c r="J178" s="899"/>
      <c r="K178" s="899"/>
      <c r="L178" s="899"/>
      <c r="M178" s="899"/>
      <c r="N178" s="899"/>
      <c r="O178" s="899"/>
      <c r="P178" s="899"/>
      <c r="Q178" s="899"/>
      <c r="R178" s="899"/>
      <c r="S178" s="899"/>
      <c r="T178" s="899"/>
      <c r="U178" s="899"/>
      <c r="V178" s="899"/>
      <c r="W178" s="899"/>
      <c r="X178" s="899"/>
      <c r="Y178" s="899"/>
    </row>
    <row r="221" spans="6:11" x14ac:dyDescent="0.25">
      <c r="F221" s="272"/>
      <c r="G221" s="272"/>
      <c r="H221" s="272"/>
      <c r="I221" s="272"/>
      <c r="J221" s="272"/>
      <c r="K221" s="272"/>
    </row>
    <row r="222" spans="6:11" x14ac:dyDescent="0.25">
      <c r="F222" s="272"/>
      <c r="G222" s="272"/>
      <c r="H222" s="272"/>
      <c r="I222" s="272"/>
      <c r="J222" s="272"/>
      <c r="K222" s="272"/>
    </row>
    <row r="223" spans="6:11" x14ac:dyDescent="0.25">
      <c r="F223" s="272"/>
      <c r="G223" s="272"/>
      <c r="H223" s="272"/>
      <c r="I223" s="272"/>
      <c r="J223" s="272"/>
      <c r="K223" s="272"/>
    </row>
    <row r="224" spans="6:11" x14ac:dyDescent="0.25">
      <c r="F224" s="272"/>
      <c r="G224" s="272"/>
      <c r="H224" s="272"/>
      <c r="I224" s="272"/>
      <c r="J224" s="272"/>
      <c r="K224" s="272"/>
    </row>
    <row r="225" spans="6:11" x14ac:dyDescent="0.25">
      <c r="F225" s="272"/>
      <c r="G225" s="272"/>
      <c r="H225" s="272"/>
      <c r="I225" s="272"/>
      <c r="J225" s="272"/>
      <c r="K225" s="272"/>
    </row>
    <row r="226" spans="6:11" x14ac:dyDescent="0.25">
      <c r="F226" s="272"/>
      <c r="G226" s="272"/>
      <c r="H226" s="272"/>
      <c r="I226" s="272"/>
      <c r="J226" s="272"/>
      <c r="K226" s="272"/>
    </row>
    <row r="227" spans="6:11" x14ac:dyDescent="0.25">
      <c r="F227" s="272"/>
      <c r="G227" s="272"/>
      <c r="H227" s="272"/>
      <c r="I227" s="272"/>
      <c r="J227" s="272"/>
      <c r="K227" s="272"/>
    </row>
    <row r="228" spans="6:11" x14ac:dyDescent="0.25">
      <c r="F228" s="272"/>
      <c r="G228" s="272"/>
      <c r="H228" s="272"/>
      <c r="I228" s="272"/>
      <c r="J228" s="272"/>
      <c r="K228" s="272"/>
    </row>
    <row r="229" spans="6:11" x14ac:dyDescent="0.25">
      <c r="F229" s="272"/>
      <c r="G229" s="272"/>
      <c r="H229" s="272"/>
      <c r="I229" s="272"/>
      <c r="J229" s="272"/>
      <c r="K229" s="272"/>
    </row>
    <row r="230" spans="6:11" x14ac:dyDescent="0.25">
      <c r="F230" s="272"/>
      <c r="G230" s="272"/>
      <c r="H230" s="272"/>
      <c r="I230" s="272"/>
      <c r="J230" s="272"/>
      <c r="K230" s="272"/>
    </row>
    <row r="231" spans="6:11" x14ac:dyDescent="0.25">
      <c r="F231" s="272"/>
      <c r="G231" s="272"/>
      <c r="H231" s="272"/>
      <c r="I231" s="272"/>
      <c r="J231" s="272"/>
      <c r="K231" s="272"/>
    </row>
    <row r="232" spans="6:11" x14ac:dyDescent="0.25">
      <c r="F232" s="272"/>
      <c r="G232" s="272"/>
      <c r="H232" s="272"/>
      <c r="I232" s="272"/>
      <c r="J232" s="272"/>
      <c r="K232" s="272"/>
    </row>
    <row r="233" spans="6:11" x14ac:dyDescent="0.25">
      <c r="F233" s="272"/>
      <c r="G233" s="272"/>
      <c r="H233" s="272"/>
      <c r="I233" s="272"/>
      <c r="J233" s="272"/>
      <c r="K233" s="272"/>
    </row>
    <row r="234" spans="6:11" x14ac:dyDescent="0.25">
      <c r="F234" s="272"/>
      <c r="G234" s="272"/>
      <c r="H234" s="272"/>
      <c r="I234" s="272"/>
      <c r="J234" s="272"/>
      <c r="K234" s="272"/>
    </row>
    <row r="235" spans="6:11" x14ac:dyDescent="0.25">
      <c r="F235" s="272"/>
      <c r="G235" s="272"/>
      <c r="H235" s="272"/>
      <c r="I235" s="272"/>
      <c r="J235" s="272"/>
      <c r="K235" s="272"/>
    </row>
    <row r="236" spans="6:11" x14ac:dyDescent="0.25">
      <c r="F236" s="272"/>
      <c r="G236" s="272"/>
      <c r="H236" s="272"/>
      <c r="I236" s="272"/>
      <c r="J236" s="272"/>
      <c r="K236" s="272"/>
    </row>
    <row r="237" spans="6:11" x14ac:dyDescent="0.25">
      <c r="F237" s="272"/>
      <c r="G237" s="272"/>
      <c r="H237" s="272"/>
      <c r="I237" s="272"/>
      <c r="J237" s="272"/>
      <c r="K237" s="272"/>
    </row>
    <row r="238" spans="6:11" x14ac:dyDescent="0.25">
      <c r="F238" s="272"/>
      <c r="G238" s="272"/>
      <c r="H238" s="272"/>
      <c r="I238" s="272"/>
      <c r="J238" s="272"/>
      <c r="K238" s="272"/>
    </row>
    <row r="239" spans="6:11" x14ac:dyDescent="0.25">
      <c r="F239" s="272"/>
      <c r="G239" s="272"/>
      <c r="H239" s="272"/>
      <c r="I239" s="272"/>
      <c r="J239" s="272"/>
      <c r="K239" s="272"/>
    </row>
    <row r="240" spans="6:11" x14ac:dyDescent="0.25">
      <c r="F240" s="272"/>
      <c r="G240" s="272"/>
      <c r="H240" s="272"/>
      <c r="I240" s="272"/>
      <c r="J240" s="272"/>
      <c r="K240" s="272"/>
    </row>
    <row r="241" spans="6:11" x14ac:dyDescent="0.25">
      <c r="F241" s="272"/>
      <c r="G241" s="272"/>
      <c r="H241" s="272"/>
      <c r="I241" s="272"/>
      <c r="J241" s="272"/>
      <c r="K241" s="272"/>
    </row>
    <row r="242" spans="6:11" x14ac:dyDescent="0.25">
      <c r="F242" s="272"/>
      <c r="G242" s="272"/>
      <c r="H242" s="272"/>
      <c r="I242" s="272"/>
      <c r="J242" s="272"/>
      <c r="K242" s="272"/>
    </row>
    <row r="243" spans="6:11" x14ac:dyDescent="0.25">
      <c r="F243" s="272"/>
      <c r="G243" s="272"/>
      <c r="H243" s="272"/>
      <c r="I243" s="272"/>
      <c r="J243" s="272"/>
      <c r="K243" s="272"/>
    </row>
    <row r="244" spans="6:11" x14ac:dyDescent="0.25">
      <c r="F244" s="272"/>
      <c r="G244" s="272"/>
      <c r="H244" s="272"/>
      <c r="I244" s="272"/>
      <c r="J244" s="272"/>
      <c r="K244" s="272"/>
    </row>
    <row r="245" spans="6:11" x14ac:dyDescent="0.25">
      <c r="F245" s="272"/>
      <c r="G245" s="272"/>
      <c r="H245" s="272"/>
      <c r="I245" s="272"/>
      <c r="J245" s="272"/>
      <c r="K245" s="272"/>
    </row>
    <row r="246" spans="6:11" x14ac:dyDescent="0.25">
      <c r="F246" s="272"/>
      <c r="G246" s="272"/>
      <c r="H246" s="272"/>
      <c r="I246" s="272"/>
      <c r="J246" s="272"/>
      <c r="K246" s="272"/>
    </row>
    <row r="247" spans="6:11" x14ac:dyDescent="0.25">
      <c r="F247" s="272"/>
      <c r="G247" s="272"/>
      <c r="H247" s="272"/>
      <c r="I247" s="272"/>
      <c r="J247" s="272"/>
      <c r="K247" s="272"/>
    </row>
    <row r="248" spans="6:11" x14ac:dyDescent="0.25">
      <c r="F248" s="272"/>
      <c r="G248" s="272"/>
      <c r="H248" s="272"/>
      <c r="I248" s="272"/>
      <c r="J248" s="272"/>
      <c r="K248" s="272"/>
    </row>
    <row r="249" spans="6:11" x14ac:dyDescent="0.25">
      <c r="F249" s="272"/>
      <c r="G249" s="272"/>
      <c r="H249" s="272"/>
      <c r="I249" s="272"/>
      <c r="J249" s="272"/>
      <c r="K249" s="272"/>
    </row>
    <row r="250" spans="6:11" x14ac:dyDescent="0.25">
      <c r="F250" s="272"/>
      <c r="G250" s="272"/>
      <c r="H250" s="272"/>
      <c r="I250" s="272"/>
      <c r="J250" s="272"/>
      <c r="K250" s="272"/>
    </row>
    <row r="251" spans="6:11" x14ac:dyDescent="0.25">
      <c r="F251" s="272"/>
      <c r="G251" s="272"/>
      <c r="H251" s="272"/>
      <c r="I251" s="272"/>
      <c r="J251" s="272"/>
      <c r="K251" s="272"/>
    </row>
    <row r="252" spans="6:11" x14ac:dyDescent="0.25">
      <c r="F252" s="272"/>
      <c r="G252" s="272"/>
      <c r="H252" s="272"/>
      <c r="I252" s="272"/>
      <c r="J252" s="272"/>
      <c r="K252" s="272"/>
    </row>
    <row r="253" spans="6:11" x14ac:dyDescent="0.25">
      <c r="F253" s="272"/>
      <c r="G253" s="272"/>
      <c r="H253" s="272"/>
      <c r="I253" s="272"/>
      <c r="J253" s="272"/>
      <c r="K253" s="272"/>
    </row>
    <row r="254" spans="6:11" x14ac:dyDescent="0.25">
      <c r="F254" s="272"/>
      <c r="G254" s="272"/>
      <c r="H254" s="272"/>
      <c r="I254" s="272"/>
      <c r="J254" s="272"/>
      <c r="K254" s="272"/>
    </row>
    <row r="255" spans="6:11" x14ac:dyDescent="0.25">
      <c r="F255" s="272"/>
      <c r="G255" s="272"/>
      <c r="H255" s="272"/>
      <c r="I255" s="272"/>
      <c r="J255" s="272"/>
      <c r="K255" s="272"/>
    </row>
  </sheetData>
  <mergeCells count="949">
    <mergeCell ref="X50:Y50"/>
    <mergeCell ref="N125:O125"/>
    <mergeCell ref="N126:O126"/>
    <mergeCell ref="N127:O127"/>
    <mergeCell ref="N128:O128"/>
    <mergeCell ref="X41:Y41"/>
    <mergeCell ref="X42:Y42"/>
    <mergeCell ref="X43:Y43"/>
    <mergeCell ref="X44:Y44"/>
    <mergeCell ref="X45:Y45"/>
    <mergeCell ref="X46:Y46"/>
    <mergeCell ref="X47:Y47"/>
    <mergeCell ref="X48:Y48"/>
    <mergeCell ref="X49:Y49"/>
    <mergeCell ref="T97:U97"/>
    <mergeCell ref="V97:W97"/>
    <mergeCell ref="X97:Y97"/>
    <mergeCell ref="R126:S126"/>
    <mergeCell ref="R127:S127"/>
    <mergeCell ref="R128:S128"/>
    <mergeCell ref="V61:W61"/>
    <mergeCell ref="V62:W62"/>
    <mergeCell ref="X60:Y60"/>
    <mergeCell ref="X61:Y61"/>
    <mergeCell ref="B124:D124"/>
    <mergeCell ref="R121:S121"/>
    <mergeCell ref="R122:S122"/>
    <mergeCell ref="R123:S123"/>
    <mergeCell ref="R124:S124"/>
    <mergeCell ref="T123:U123"/>
    <mergeCell ref="V112:W112"/>
    <mergeCell ref="X112:Y112"/>
    <mergeCell ref="B113:C113"/>
    <mergeCell ref="D113:E113"/>
    <mergeCell ref="F113:G113"/>
    <mergeCell ref="H113:I113"/>
    <mergeCell ref="J113:K113"/>
    <mergeCell ref="L113:M113"/>
    <mergeCell ref="N113:O113"/>
    <mergeCell ref="P113:Q113"/>
    <mergeCell ref="R113:S113"/>
    <mergeCell ref="T113:U113"/>
    <mergeCell ref="V113:W113"/>
    <mergeCell ref="T121:U121"/>
    <mergeCell ref="T122:U122"/>
    <mergeCell ref="X113:Y113"/>
    <mergeCell ref="N121:O121"/>
    <mergeCell ref="N122:O122"/>
    <mergeCell ref="F127:G127"/>
    <mergeCell ref="F128:G128"/>
    <mergeCell ref="T130:U130"/>
    <mergeCell ref="T124:U124"/>
    <mergeCell ref="T125:U125"/>
    <mergeCell ref="T126:U126"/>
    <mergeCell ref="J130:K130"/>
    <mergeCell ref="V141:W141"/>
    <mergeCell ref="X141:Y141"/>
    <mergeCell ref="F126:G126"/>
    <mergeCell ref="R129:S129"/>
    <mergeCell ref="R130:S130"/>
    <mergeCell ref="T127:U127"/>
    <mergeCell ref="T128:U128"/>
    <mergeCell ref="T129:U129"/>
    <mergeCell ref="X139:Y139"/>
    <mergeCell ref="T140:U140"/>
    <mergeCell ref="V140:W140"/>
    <mergeCell ref="X140:Y140"/>
    <mergeCell ref="F139:G139"/>
    <mergeCell ref="H139:I139"/>
    <mergeCell ref="J139:K139"/>
    <mergeCell ref="L139:M139"/>
    <mergeCell ref="N139:O139"/>
    <mergeCell ref="P139:Q139"/>
    <mergeCell ref="R139:S139"/>
    <mergeCell ref="T139:U139"/>
    <mergeCell ref="V139:W139"/>
    <mergeCell ref="R125:S125"/>
    <mergeCell ref="B141:C141"/>
    <mergeCell ref="D141:E141"/>
    <mergeCell ref="F141:G141"/>
    <mergeCell ref="H141:I141"/>
    <mergeCell ref="J141:K141"/>
    <mergeCell ref="L141:M141"/>
    <mergeCell ref="N141:O141"/>
    <mergeCell ref="P141:Q141"/>
    <mergeCell ref="R141:S141"/>
    <mergeCell ref="B140:C140"/>
    <mergeCell ref="D140:E140"/>
    <mergeCell ref="F140:G140"/>
    <mergeCell ref="H140:I140"/>
    <mergeCell ref="J140:K140"/>
    <mergeCell ref="L140:M140"/>
    <mergeCell ref="N140:O140"/>
    <mergeCell ref="P140:Q140"/>
    <mergeCell ref="R140:S140"/>
    <mergeCell ref="R137:S137"/>
    <mergeCell ref="X62:Y62"/>
    <mergeCell ref="B111:C111"/>
    <mergeCell ref="D111:E111"/>
    <mergeCell ref="F111:G111"/>
    <mergeCell ref="H111:I111"/>
    <mergeCell ref="J111:K111"/>
    <mergeCell ref="L111:M111"/>
    <mergeCell ref="N111:O111"/>
    <mergeCell ref="P111:Q111"/>
    <mergeCell ref="R111:S111"/>
    <mergeCell ref="T111:U111"/>
    <mergeCell ref="V111:W111"/>
    <mergeCell ref="X111:Y111"/>
    <mergeCell ref="B97:C97"/>
    <mergeCell ref="D97:E97"/>
    <mergeCell ref="F97:G97"/>
    <mergeCell ref="H97:I97"/>
    <mergeCell ref="J97:K97"/>
    <mergeCell ref="L97:M97"/>
    <mergeCell ref="N97:O97"/>
    <mergeCell ref="P97:Q97"/>
    <mergeCell ref="R97:S97"/>
    <mergeCell ref="T94:U94"/>
    <mergeCell ref="T106:U106"/>
    <mergeCell ref="N60:O60"/>
    <mergeCell ref="N61:O61"/>
    <mergeCell ref="N62:O62"/>
    <mergeCell ref="P60:Q60"/>
    <mergeCell ref="P61:Q61"/>
    <mergeCell ref="P62:Q62"/>
    <mergeCell ref="R60:S60"/>
    <mergeCell ref="R61:S61"/>
    <mergeCell ref="R62:S62"/>
    <mergeCell ref="H60:I60"/>
    <mergeCell ref="H61:I61"/>
    <mergeCell ref="H62:I62"/>
    <mergeCell ref="J60:K60"/>
    <mergeCell ref="J61:K61"/>
    <mergeCell ref="J62:K62"/>
    <mergeCell ref="L60:M60"/>
    <mergeCell ref="L61:M61"/>
    <mergeCell ref="L62:M62"/>
    <mergeCell ref="B60:C60"/>
    <mergeCell ref="B61:C61"/>
    <mergeCell ref="B62:C62"/>
    <mergeCell ref="D60:E60"/>
    <mergeCell ref="D61:E61"/>
    <mergeCell ref="D62:E62"/>
    <mergeCell ref="F60:G60"/>
    <mergeCell ref="F61:G61"/>
    <mergeCell ref="F62:G62"/>
    <mergeCell ref="T163:U163"/>
    <mergeCell ref="V163:W163"/>
    <mergeCell ref="X163:Y163"/>
    <mergeCell ref="B164:C164"/>
    <mergeCell ref="D164:E164"/>
    <mergeCell ref="F164:G164"/>
    <mergeCell ref="H164:I164"/>
    <mergeCell ref="J164:K164"/>
    <mergeCell ref="L164:M164"/>
    <mergeCell ref="N164:O164"/>
    <mergeCell ref="P164:Q164"/>
    <mergeCell ref="R164:S164"/>
    <mergeCell ref="T164:U164"/>
    <mergeCell ref="V164:W164"/>
    <mergeCell ref="X164:Y164"/>
    <mergeCell ref="B163:C163"/>
    <mergeCell ref="D163:E163"/>
    <mergeCell ref="F163:G163"/>
    <mergeCell ref="H163:I163"/>
    <mergeCell ref="J163:K163"/>
    <mergeCell ref="L163:M163"/>
    <mergeCell ref="N163:O163"/>
    <mergeCell ref="P163:Q163"/>
    <mergeCell ref="R163:S163"/>
    <mergeCell ref="V166:W166"/>
    <mergeCell ref="X166:Y166"/>
    <mergeCell ref="D166:E166"/>
    <mergeCell ref="F166:G166"/>
    <mergeCell ref="H166:I166"/>
    <mergeCell ref="J166:K166"/>
    <mergeCell ref="L166:M166"/>
    <mergeCell ref="N166:O166"/>
    <mergeCell ref="P166:Q166"/>
    <mergeCell ref="R166:S166"/>
    <mergeCell ref="T166:U166"/>
    <mergeCell ref="V165:W165"/>
    <mergeCell ref="X165:Y165"/>
    <mergeCell ref="T178:U178"/>
    <mergeCell ref="V178:W178"/>
    <mergeCell ref="X178:Y178"/>
    <mergeCell ref="B178:C178"/>
    <mergeCell ref="D178:E178"/>
    <mergeCell ref="F178:G178"/>
    <mergeCell ref="H178:I178"/>
    <mergeCell ref="J178:K178"/>
    <mergeCell ref="L178:M178"/>
    <mergeCell ref="N178:O178"/>
    <mergeCell ref="P178:Q178"/>
    <mergeCell ref="R178:S178"/>
    <mergeCell ref="V176:W176"/>
    <mergeCell ref="X176:Y176"/>
    <mergeCell ref="B177:C177"/>
    <mergeCell ref="D177:E177"/>
    <mergeCell ref="F177:G177"/>
    <mergeCell ref="H177:I177"/>
    <mergeCell ref="J177:K177"/>
    <mergeCell ref="L177:M177"/>
    <mergeCell ref="N177:O177"/>
    <mergeCell ref="B165:C165"/>
    <mergeCell ref="P177:Q177"/>
    <mergeCell ref="R177:S177"/>
    <mergeCell ref="T177:U177"/>
    <mergeCell ref="V177:W177"/>
    <mergeCell ref="X177:Y177"/>
    <mergeCell ref="D176:E176"/>
    <mergeCell ref="F176:G176"/>
    <mergeCell ref="H176:I176"/>
    <mergeCell ref="J176:K176"/>
    <mergeCell ref="L176:M176"/>
    <mergeCell ref="N176:O176"/>
    <mergeCell ref="P176:Q176"/>
    <mergeCell ref="R176:S176"/>
    <mergeCell ref="T176:U176"/>
    <mergeCell ref="X174:Y174"/>
    <mergeCell ref="D175:E175"/>
    <mergeCell ref="F175:G175"/>
    <mergeCell ref="H175:I175"/>
    <mergeCell ref="J175:K175"/>
    <mergeCell ref="L175:M175"/>
    <mergeCell ref="N175:O175"/>
    <mergeCell ref="P175:Q175"/>
    <mergeCell ref="R175:S175"/>
    <mergeCell ref="T175:U175"/>
    <mergeCell ref="V175:W175"/>
    <mergeCell ref="X175:Y175"/>
    <mergeCell ref="F174:G174"/>
    <mergeCell ref="H174:I174"/>
    <mergeCell ref="J174:K174"/>
    <mergeCell ref="L174:M174"/>
    <mergeCell ref="N174:O174"/>
    <mergeCell ref="P174:Q174"/>
    <mergeCell ref="R174:S174"/>
    <mergeCell ref="T174:U174"/>
    <mergeCell ref="V174:W174"/>
    <mergeCell ref="V172:W172"/>
    <mergeCell ref="X172:Y172"/>
    <mergeCell ref="D173:E173"/>
    <mergeCell ref="F173:G173"/>
    <mergeCell ref="H173:I173"/>
    <mergeCell ref="J173:K173"/>
    <mergeCell ref="L173:M173"/>
    <mergeCell ref="N173:O173"/>
    <mergeCell ref="P173:Q173"/>
    <mergeCell ref="R173:S173"/>
    <mergeCell ref="T173:U173"/>
    <mergeCell ref="V173:W173"/>
    <mergeCell ref="X173:Y173"/>
    <mergeCell ref="V170:W170"/>
    <mergeCell ref="X170:Y170"/>
    <mergeCell ref="D171:E171"/>
    <mergeCell ref="F171:G171"/>
    <mergeCell ref="H171:I171"/>
    <mergeCell ref="J171:K171"/>
    <mergeCell ref="L171:M171"/>
    <mergeCell ref="N171:O171"/>
    <mergeCell ref="P171:Q171"/>
    <mergeCell ref="R171:S171"/>
    <mergeCell ref="T171:U171"/>
    <mergeCell ref="V171:W171"/>
    <mergeCell ref="X171:Y171"/>
    <mergeCell ref="V168:W168"/>
    <mergeCell ref="X168:Y168"/>
    <mergeCell ref="D169:E169"/>
    <mergeCell ref="F169:G169"/>
    <mergeCell ref="H169:I169"/>
    <mergeCell ref="J169:K169"/>
    <mergeCell ref="L169:M169"/>
    <mergeCell ref="N169:O169"/>
    <mergeCell ref="P169:Q169"/>
    <mergeCell ref="R169:S169"/>
    <mergeCell ref="T169:U169"/>
    <mergeCell ref="V169:W169"/>
    <mergeCell ref="X169:Y169"/>
    <mergeCell ref="B175:C175"/>
    <mergeCell ref="B176:C176"/>
    <mergeCell ref="D168:E168"/>
    <mergeCell ref="F168:G168"/>
    <mergeCell ref="H168:I168"/>
    <mergeCell ref="J168:K168"/>
    <mergeCell ref="L168:M168"/>
    <mergeCell ref="N168:O168"/>
    <mergeCell ref="P168:Q168"/>
    <mergeCell ref="D170:E170"/>
    <mergeCell ref="F170:G170"/>
    <mergeCell ref="H170:I170"/>
    <mergeCell ref="J170:K170"/>
    <mergeCell ref="L170:M170"/>
    <mergeCell ref="N170:O170"/>
    <mergeCell ref="P170:Q170"/>
    <mergeCell ref="D172:E172"/>
    <mergeCell ref="F172:G172"/>
    <mergeCell ref="H172:I172"/>
    <mergeCell ref="J172:K172"/>
    <mergeCell ref="L172:M172"/>
    <mergeCell ref="N172:O172"/>
    <mergeCell ref="P172:Q172"/>
    <mergeCell ref="D174:E174"/>
    <mergeCell ref="B168:C168"/>
    <mergeCell ref="B169:C169"/>
    <mergeCell ref="B170:C170"/>
    <mergeCell ref="B171:C171"/>
    <mergeCell ref="B172:C172"/>
    <mergeCell ref="B173:C173"/>
    <mergeCell ref="B174:C174"/>
    <mergeCell ref="B166:C166"/>
    <mergeCell ref="T160:U160"/>
    <mergeCell ref="R168:S168"/>
    <mergeCell ref="T168:U168"/>
    <mergeCell ref="R170:S170"/>
    <mergeCell ref="T170:U170"/>
    <mergeCell ref="R172:S172"/>
    <mergeCell ref="T172:U172"/>
    <mergeCell ref="T165:U165"/>
    <mergeCell ref="D165:E165"/>
    <mergeCell ref="F165:G165"/>
    <mergeCell ref="H165:I165"/>
    <mergeCell ref="J165:K165"/>
    <mergeCell ref="L165:M165"/>
    <mergeCell ref="N165:O165"/>
    <mergeCell ref="P165:Q165"/>
    <mergeCell ref="R165:S165"/>
    <mergeCell ref="V160:W160"/>
    <mergeCell ref="X160:Y160"/>
    <mergeCell ref="B160:C160"/>
    <mergeCell ref="D160:E160"/>
    <mergeCell ref="F160:G160"/>
    <mergeCell ref="H160:I160"/>
    <mergeCell ref="J160:K160"/>
    <mergeCell ref="L160:M160"/>
    <mergeCell ref="N160:O160"/>
    <mergeCell ref="P160:Q160"/>
    <mergeCell ref="R160:S160"/>
    <mergeCell ref="T158:U158"/>
    <mergeCell ref="V158:W158"/>
    <mergeCell ref="X158:Y158"/>
    <mergeCell ref="B159:C159"/>
    <mergeCell ref="D159:E159"/>
    <mergeCell ref="F159:G159"/>
    <mergeCell ref="H159:I159"/>
    <mergeCell ref="J159:K159"/>
    <mergeCell ref="L159:M159"/>
    <mergeCell ref="N159:O159"/>
    <mergeCell ref="P159:Q159"/>
    <mergeCell ref="R159:S159"/>
    <mergeCell ref="T159:U159"/>
    <mergeCell ref="V159:W159"/>
    <mergeCell ref="X159:Y159"/>
    <mergeCell ref="B158:C158"/>
    <mergeCell ref="D158:E158"/>
    <mergeCell ref="F158:G158"/>
    <mergeCell ref="H158:I158"/>
    <mergeCell ref="J158:K158"/>
    <mergeCell ref="L158:M158"/>
    <mergeCell ref="N158:O158"/>
    <mergeCell ref="P158:Q158"/>
    <mergeCell ref="R158:S158"/>
    <mergeCell ref="T156:U156"/>
    <mergeCell ref="V156:W156"/>
    <mergeCell ref="X156:Y156"/>
    <mergeCell ref="B157:C157"/>
    <mergeCell ref="D157:E157"/>
    <mergeCell ref="F157:G157"/>
    <mergeCell ref="H157:I157"/>
    <mergeCell ref="J157:K157"/>
    <mergeCell ref="L157:M157"/>
    <mergeCell ref="N157:O157"/>
    <mergeCell ref="P157:Q157"/>
    <mergeCell ref="R157:S157"/>
    <mergeCell ref="T157:U157"/>
    <mergeCell ref="V157:W157"/>
    <mergeCell ref="X157:Y157"/>
    <mergeCell ref="B156:C156"/>
    <mergeCell ref="D156:E156"/>
    <mergeCell ref="F156:G156"/>
    <mergeCell ref="H156:I156"/>
    <mergeCell ref="J156:K156"/>
    <mergeCell ref="L156:M156"/>
    <mergeCell ref="N156:O156"/>
    <mergeCell ref="P156:Q156"/>
    <mergeCell ref="R156:S156"/>
    <mergeCell ref="T154:U154"/>
    <mergeCell ref="V154:W154"/>
    <mergeCell ref="X154:Y154"/>
    <mergeCell ref="B155:C155"/>
    <mergeCell ref="D155:E155"/>
    <mergeCell ref="F155:G155"/>
    <mergeCell ref="H155:I155"/>
    <mergeCell ref="J155:K155"/>
    <mergeCell ref="L155:M155"/>
    <mergeCell ref="N155:O155"/>
    <mergeCell ref="P155:Q155"/>
    <mergeCell ref="R155:S155"/>
    <mergeCell ref="T155:U155"/>
    <mergeCell ref="V155:W155"/>
    <mergeCell ref="X155:Y155"/>
    <mergeCell ref="B154:C154"/>
    <mergeCell ref="D154:E154"/>
    <mergeCell ref="F154:G154"/>
    <mergeCell ref="H154:I154"/>
    <mergeCell ref="J154:K154"/>
    <mergeCell ref="L154:M154"/>
    <mergeCell ref="N154:O154"/>
    <mergeCell ref="P154:Q154"/>
    <mergeCell ref="R154:S154"/>
    <mergeCell ref="T152:U152"/>
    <mergeCell ref="V152:W152"/>
    <mergeCell ref="X152:Y152"/>
    <mergeCell ref="B153:C153"/>
    <mergeCell ref="D153:E153"/>
    <mergeCell ref="F153:G153"/>
    <mergeCell ref="H153:I153"/>
    <mergeCell ref="J153:K153"/>
    <mergeCell ref="L153:M153"/>
    <mergeCell ref="N153:O153"/>
    <mergeCell ref="P153:Q153"/>
    <mergeCell ref="R153:S153"/>
    <mergeCell ref="T153:U153"/>
    <mergeCell ref="V153:W153"/>
    <mergeCell ref="X153:Y153"/>
    <mergeCell ref="B152:C152"/>
    <mergeCell ref="D152:E152"/>
    <mergeCell ref="F152:G152"/>
    <mergeCell ref="H152:I152"/>
    <mergeCell ref="J152:K152"/>
    <mergeCell ref="L152:M152"/>
    <mergeCell ref="N152:O152"/>
    <mergeCell ref="P152:Q152"/>
    <mergeCell ref="R152:S152"/>
    <mergeCell ref="T150:U150"/>
    <mergeCell ref="V150:W150"/>
    <mergeCell ref="X150:Y150"/>
    <mergeCell ref="B151:C151"/>
    <mergeCell ref="D151:E151"/>
    <mergeCell ref="F151:G151"/>
    <mergeCell ref="H151:I151"/>
    <mergeCell ref="J151:K151"/>
    <mergeCell ref="L151:M151"/>
    <mergeCell ref="N151:O151"/>
    <mergeCell ref="P151:Q151"/>
    <mergeCell ref="R151:S151"/>
    <mergeCell ref="T151:U151"/>
    <mergeCell ref="V151:W151"/>
    <mergeCell ref="X151:Y151"/>
    <mergeCell ref="B150:C150"/>
    <mergeCell ref="D150:E150"/>
    <mergeCell ref="F150:G150"/>
    <mergeCell ref="H150:I150"/>
    <mergeCell ref="J150:K150"/>
    <mergeCell ref="L150:M150"/>
    <mergeCell ref="N150:O150"/>
    <mergeCell ref="P150:Q150"/>
    <mergeCell ref="R150:S150"/>
    <mergeCell ref="P146:Q146"/>
    <mergeCell ref="R146:S146"/>
    <mergeCell ref="T146:U146"/>
    <mergeCell ref="V146:W146"/>
    <mergeCell ref="X146:Y146"/>
    <mergeCell ref="B147:C147"/>
    <mergeCell ref="D147:E147"/>
    <mergeCell ref="F147:G147"/>
    <mergeCell ref="H147:I147"/>
    <mergeCell ref="J147:K147"/>
    <mergeCell ref="L147:M147"/>
    <mergeCell ref="N147:O147"/>
    <mergeCell ref="P147:Q147"/>
    <mergeCell ref="R147:S147"/>
    <mergeCell ref="T147:U147"/>
    <mergeCell ref="V147:W147"/>
    <mergeCell ref="X147:Y147"/>
    <mergeCell ref="N123:O123"/>
    <mergeCell ref="N124:O124"/>
    <mergeCell ref="N129:O129"/>
    <mergeCell ref="N130:O130"/>
    <mergeCell ref="N131:O131"/>
    <mergeCell ref="N120:O120"/>
    <mergeCell ref="B146:C146"/>
    <mergeCell ref="D146:E146"/>
    <mergeCell ref="F146:G146"/>
    <mergeCell ref="H146:I146"/>
    <mergeCell ref="J146:K146"/>
    <mergeCell ref="L146:M146"/>
    <mergeCell ref="N146:O146"/>
    <mergeCell ref="N138:O138"/>
    <mergeCell ref="L131:M131"/>
    <mergeCell ref="B135:C135"/>
    <mergeCell ref="B136:C136"/>
    <mergeCell ref="B137:C137"/>
    <mergeCell ref="B138:C138"/>
    <mergeCell ref="B142:C142"/>
    <mergeCell ref="B143:C143"/>
    <mergeCell ref="B144:C144"/>
    <mergeCell ref="B139:C139"/>
    <mergeCell ref="J136:K136"/>
    <mergeCell ref="X143:Y143"/>
    <mergeCell ref="D144:E144"/>
    <mergeCell ref="F144:G144"/>
    <mergeCell ref="H144:I144"/>
    <mergeCell ref="J144:K144"/>
    <mergeCell ref="L144:M144"/>
    <mergeCell ref="N144:O144"/>
    <mergeCell ref="P144:Q144"/>
    <mergeCell ref="R144:S144"/>
    <mergeCell ref="T144:U144"/>
    <mergeCell ref="V144:W144"/>
    <mergeCell ref="X144:Y144"/>
    <mergeCell ref="F143:G143"/>
    <mergeCell ref="H143:I143"/>
    <mergeCell ref="J143:K143"/>
    <mergeCell ref="L143:M143"/>
    <mergeCell ref="N143:O143"/>
    <mergeCell ref="P143:Q143"/>
    <mergeCell ref="R143:S143"/>
    <mergeCell ref="T143:U143"/>
    <mergeCell ref="V143:W143"/>
    <mergeCell ref="D143:E143"/>
    <mergeCell ref="T137:U137"/>
    <mergeCell ref="X138:Y138"/>
    <mergeCell ref="D142:E142"/>
    <mergeCell ref="F142:G142"/>
    <mergeCell ref="H142:I142"/>
    <mergeCell ref="J142:K142"/>
    <mergeCell ref="L142:M142"/>
    <mergeCell ref="N142:O142"/>
    <mergeCell ref="P142:Q142"/>
    <mergeCell ref="R142:S142"/>
    <mergeCell ref="T142:U142"/>
    <mergeCell ref="V142:W142"/>
    <mergeCell ref="X142:Y142"/>
    <mergeCell ref="D138:E138"/>
    <mergeCell ref="F138:G138"/>
    <mergeCell ref="H138:I138"/>
    <mergeCell ref="J138:K138"/>
    <mergeCell ref="L138:M138"/>
    <mergeCell ref="T138:U138"/>
    <mergeCell ref="V138:W138"/>
    <mergeCell ref="N137:O137"/>
    <mergeCell ref="P137:Q137"/>
    <mergeCell ref="T141:U141"/>
    <mergeCell ref="D139:E139"/>
    <mergeCell ref="L136:M136"/>
    <mergeCell ref="D137:E137"/>
    <mergeCell ref="F137:G137"/>
    <mergeCell ref="H137:I137"/>
    <mergeCell ref="J137:K137"/>
    <mergeCell ref="L137:M137"/>
    <mergeCell ref="L119:M120"/>
    <mergeCell ref="L121:M121"/>
    <mergeCell ref="L122:M122"/>
    <mergeCell ref="L123:M123"/>
    <mergeCell ref="L124:M124"/>
    <mergeCell ref="L129:M129"/>
    <mergeCell ref="L130:M130"/>
    <mergeCell ref="J123:K123"/>
    <mergeCell ref="J124:K124"/>
    <mergeCell ref="J129:K129"/>
    <mergeCell ref="J122:K122"/>
    <mergeCell ref="J121:K121"/>
    <mergeCell ref="J125:K125"/>
    <mergeCell ref="J126:K126"/>
    <mergeCell ref="J127:K127"/>
    <mergeCell ref="J128:K128"/>
    <mergeCell ref="L125:M125"/>
    <mergeCell ref="L126:M126"/>
    <mergeCell ref="L127:M127"/>
    <mergeCell ref="L128:M128"/>
    <mergeCell ref="T110:U110"/>
    <mergeCell ref="V110:W110"/>
    <mergeCell ref="X110:Y110"/>
    <mergeCell ref="T116:U116"/>
    <mergeCell ref="V116:W116"/>
    <mergeCell ref="X116:Y116"/>
    <mergeCell ref="N114:O114"/>
    <mergeCell ref="P114:Q114"/>
    <mergeCell ref="R114:S114"/>
    <mergeCell ref="T114:U114"/>
    <mergeCell ref="V114:W114"/>
    <mergeCell ref="X114:Y114"/>
    <mergeCell ref="R115:S115"/>
    <mergeCell ref="T115:U115"/>
    <mergeCell ref="V115:W115"/>
    <mergeCell ref="X115:Y115"/>
    <mergeCell ref="N115:O115"/>
    <mergeCell ref="P115:Q115"/>
    <mergeCell ref="N116:O116"/>
    <mergeCell ref="P116:Q116"/>
    <mergeCell ref="N112:O112"/>
    <mergeCell ref="P112:Q112"/>
    <mergeCell ref="T112:U112"/>
    <mergeCell ref="T107:U107"/>
    <mergeCell ref="V107:W107"/>
    <mergeCell ref="T109:U109"/>
    <mergeCell ref="V109:W109"/>
    <mergeCell ref="X107:Y107"/>
    <mergeCell ref="J108:K108"/>
    <mergeCell ref="L108:M108"/>
    <mergeCell ref="N108:O108"/>
    <mergeCell ref="P108:Q108"/>
    <mergeCell ref="R108:S108"/>
    <mergeCell ref="T108:U108"/>
    <mergeCell ref="V108:W108"/>
    <mergeCell ref="X108:Y108"/>
    <mergeCell ref="L107:M107"/>
    <mergeCell ref="X109:Y109"/>
    <mergeCell ref="N109:O109"/>
    <mergeCell ref="P109:Q109"/>
    <mergeCell ref="R107:S107"/>
    <mergeCell ref="R109:S109"/>
    <mergeCell ref="L94:M94"/>
    <mergeCell ref="H110:I110"/>
    <mergeCell ref="H114:I114"/>
    <mergeCell ref="H115:I115"/>
    <mergeCell ref="H116:I116"/>
    <mergeCell ref="L109:M109"/>
    <mergeCell ref="J114:K114"/>
    <mergeCell ref="L114:M114"/>
    <mergeCell ref="J116:K116"/>
    <mergeCell ref="L116:M116"/>
    <mergeCell ref="J115:K115"/>
    <mergeCell ref="L115:M115"/>
    <mergeCell ref="J110:K110"/>
    <mergeCell ref="L110:M110"/>
    <mergeCell ref="J109:K109"/>
    <mergeCell ref="B108:C108"/>
    <mergeCell ref="B109:C109"/>
    <mergeCell ref="B110:C110"/>
    <mergeCell ref="B114:C114"/>
    <mergeCell ref="B115:C115"/>
    <mergeCell ref="B116:C116"/>
    <mergeCell ref="D108:E108"/>
    <mergeCell ref="D109:E109"/>
    <mergeCell ref="D110:E110"/>
    <mergeCell ref="D114:E114"/>
    <mergeCell ref="D115:E115"/>
    <mergeCell ref="D116:E116"/>
    <mergeCell ref="B112:C112"/>
    <mergeCell ref="D112:E112"/>
    <mergeCell ref="B107:C107"/>
    <mergeCell ref="B101:C101"/>
    <mergeCell ref="D101:E101"/>
    <mergeCell ref="F101:G101"/>
    <mergeCell ref="D107:E107"/>
    <mergeCell ref="J107:K107"/>
    <mergeCell ref="F107:G107"/>
    <mergeCell ref="H107:I107"/>
    <mergeCell ref="N107:O107"/>
    <mergeCell ref="H101:I101"/>
    <mergeCell ref="J101:K101"/>
    <mergeCell ref="L101:M101"/>
    <mergeCell ref="N101:O101"/>
    <mergeCell ref="B106:C106"/>
    <mergeCell ref="D106:E106"/>
    <mergeCell ref="F114:G114"/>
    <mergeCell ref="F115:G115"/>
    <mergeCell ref="F116:G116"/>
    <mergeCell ref="H108:I108"/>
    <mergeCell ref="H109:I109"/>
    <mergeCell ref="R106:S106"/>
    <mergeCell ref="F106:G106"/>
    <mergeCell ref="H106:I106"/>
    <mergeCell ref="J106:K106"/>
    <mergeCell ref="L106:M106"/>
    <mergeCell ref="N106:O106"/>
    <mergeCell ref="P107:Q107"/>
    <mergeCell ref="N110:O110"/>
    <mergeCell ref="P110:Q110"/>
    <mergeCell ref="R110:S110"/>
    <mergeCell ref="F112:G112"/>
    <mergeCell ref="H112:I112"/>
    <mergeCell ref="J112:K112"/>
    <mergeCell ref="L112:M112"/>
    <mergeCell ref="R116:S116"/>
    <mergeCell ref="F108:G108"/>
    <mergeCell ref="F109:G109"/>
    <mergeCell ref="F110:G110"/>
    <mergeCell ref="R112:S112"/>
    <mergeCell ref="V106:W106"/>
    <mergeCell ref="X106:Y106"/>
    <mergeCell ref="V100:W100"/>
    <mergeCell ref="X100:Y100"/>
    <mergeCell ref="X101:Y101"/>
    <mergeCell ref="P101:Q101"/>
    <mergeCell ref="R101:S101"/>
    <mergeCell ref="T101:U101"/>
    <mergeCell ref="V101:W101"/>
    <mergeCell ref="P100:Q100"/>
    <mergeCell ref="R100:S100"/>
    <mergeCell ref="T100:U100"/>
    <mergeCell ref="C25:D25"/>
    <mergeCell ref="U21:U24"/>
    <mergeCell ref="C34:D34"/>
    <mergeCell ref="C32:D32"/>
    <mergeCell ref="C33:D33"/>
    <mergeCell ref="P21:S23"/>
    <mergeCell ref="L21:O23"/>
    <mergeCell ref="H21:K23"/>
    <mergeCell ref="C27:D27"/>
    <mergeCell ref="T21:T24"/>
    <mergeCell ref="E21:G23"/>
    <mergeCell ref="C21:D24"/>
    <mergeCell ref="C26:D26"/>
    <mergeCell ref="C30:D30"/>
    <mergeCell ref="C31:D31"/>
    <mergeCell ref="C29:D29"/>
    <mergeCell ref="B94:C94"/>
    <mergeCell ref="D94:E94"/>
    <mergeCell ref="F94:G94"/>
    <mergeCell ref="H94:I94"/>
    <mergeCell ref="F59:G59"/>
    <mergeCell ref="B64:C64"/>
    <mergeCell ref="D64:E64"/>
    <mergeCell ref="F64:G64"/>
    <mergeCell ref="C28:D28"/>
    <mergeCell ref="B65:C65"/>
    <mergeCell ref="I75:J75"/>
    <mergeCell ref="J79:K79"/>
    <mergeCell ref="D65:E65"/>
    <mergeCell ref="F65:G65"/>
    <mergeCell ref="H65:I65"/>
    <mergeCell ref="J65:K65"/>
    <mergeCell ref="B79:C79"/>
    <mergeCell ref="D79:E79"/>
    <mergeCell ref="F79:G79"/>
    <mergeCell ref="H79:I79"/>
    <mergeCell ref="B58:C58"/>
    <mergeCell ref="D58:E58"/>
    <mergeCell ref="F58:G58"/>
    <mergeCell ref="H58:I58"/>
    <mergeCell ref="N100:O100"/>
    <mergeCell ref="B100:C100"/>
    <mergeCell ref="D100:E100"/>
    <mergeCell ref="J94:K94"/>
    <mergeCell ref="L79:M79"/>
    <mergeCell ref="N79:O79"/>
    <mergeCell ref="L100:M100"/>
    <mergeCell ref="C81:D81"/>
    <mergeCell ref="C82:D82"/>
    <mergeCell ref="C83:D83"/>
    <mergeCell ref="C84:D84"/>
    <mergeCell ref="C85:D85"/>
    <mergeCell ref="C86:D86"/>
    <mergeCell ref="C87:D87"/>
    <mergeCell ref="C88:D88"/>
    <mergeCell ref="C89:D89"/>
    <mergeCell ref="C90:D90"/>
    <mergeCell ref="C91:D91"/>
    <mergeCell ref="C92:D92"/>
    <mergeCell ref="C93:D93"/>
    <mergeCell ref="N94:O94"/>
    <mergeCell ref="F100:G100"/>
    <mergeCell ref="H100:I100"/>
    <mergeCell ref="J100:K100"/>
    <mergeCell ref="H59:I59"/>
    <mergeCell ref="J59:K59"/>
    <mergeCell ref="L59:M59"/>
    <mergeCell ref="N59:O59"/>
    <mergeCell ref="P59:Q59"/>
    <mergeCell ref="R59:S59"/>
    <mergeCell ref="T59:U59"/>
    <mergeCell ref="V59:W59"/>
    <mergeCell ref="X59:Y59"/>
    <mergeCell ref="H64:I64"/>
    <mergeCell ref="J64:K64"/>
    <mergeCell ref="L64:M64"/>
    <mergeCell ref="N64:O64"/>
    <mergeCell ref="P64:Q64"/>
    <mergeCell ref="R64:S64"/>
    <mergeCell ref="J37:K40"/>
    <mergeCell ref="J58:K58"/>
    <mergeCell ref="J56:K56"/>
    <mergeCell ref="M37:M40"/>
    <mergeCell ref="J41:K41"/>
    <mergeCell ref="J42:K42"/>
    <mergeCell ref="J43:K43"/>
    <mergeCell ref="L37:L40"/>
    <mergeCell ref="N63:O63"/>
    <mergeCell ref="J63:K63"/>
    <mergeCell ref="L63:M63"/>
    <mergeCell ref="L58:M58"/>
    <mergeCell ref="N58:O58"/>
    <mergeCell ref="L53:M53"/>
    <mergeCell ref="N53:O53"/>
    <mergeCell ref="P53:Q53"/>
    <mergeCell ref="R53:S53"/>
    <mergeCell ref="P63:Q63"/>
    <mergeCell ref="C44:D44"/>
    <mergeCell ref="C48:D48"/>
    <mergeCell ref="C49:D49"/>
    <mergeCell ref="C50:D50"/>
    <mergeCell ref="B55:C55"/>
    <mergeCell ref="D55:E55"/>
    <mergeCell ref="F55:G55"/>
    <mergeCell ref="H55:I55"/>
    <mergeCell ref="J55:K55"/>
    <mergeCell ref="J44:K44"/>
    <mergeCell ref="J48:K48"/>
    <mergeCell ref="J49:K49"/>
    <mergeCell ref="J50:K50"/>
    <mergeCell ref="B53:C53"/>
    <mergeCell ref="D53:E53"/>
    <mergeCell ref="F53:G53"/>
    <mergeCell ref="H53:I53"/>
    <mergeCell ref="J53:K53"/>
    <mergeCell ref="C45:D45"/>
    <mergeCell ref="C46:D46"/>
    <mergeCell ref="C47:D47"/>
    <mergeCell ref="J45:K45"/>
    <mergeCell ref="J46:K46"/>
    <mergeCell ref="J47:K47"/>
    <mergeCell ref="X79:Y79"/>
    <mergeCell ref="X94:Y94"/>
    <mergeCell ref="V79:W79"/>
    <mergeCell ref="X64:Y64"/>
    <mergeCell ref="P58:Q58"/>
    <mergeCell ref="V94:W94"/>
    <mergeCell ref="R57:S57"/>
    <mergeCell ref="X37:X40"/>
    <mergeCell ref="V55:W55"/>
    <mergeCell ref="P55:Q55"/>
    <mergeCell ref="R55:S55"/>
    <mergeCell ref="V37:V40"/>
    <mergeCell ref="W37:W40"/>
    <mergeCell ref="T55:U55"/>
    <mergeCell ref="X55:Y55"/>
    <mergeCell ref="P37:T40"/>
    <mergeCell ref="V58:W58"/>
    <mergeCell ref="T64:U64"/>
    <mergeCell ref="V64:W64"/>
    <mergeCell ref="P79:Q79"/>
    <mergeCell ref="R79:S79"/>
    <mergeCell ref="T79:U79"/>
    <mergeCell ref="P94:Q94"/>
    <mergeCell ref="R94:S94"/>
    <mergeCell ref="X65:Y65"/>
    <mergeCell ref="T65:U65"/>
    <mergeCell ref="R58:S58"/>
    <mergeCell ref="T58:U58"/>
    <mergeCell ref="P56:Q56"/>
    <mergeCell ref="R56:S56"/>
    <mergeCell ref="T56:U56"/>
    <mergeCell ref="V56:W56"/>
    <mergeCell ref="X56:Y56"/>
    <mergeCell ref="T63:U63"/>
    <mergeCell ref="V63:W63"/>
    <mergeCell ref="V65:W65"/>
    <mergeCell ref="P65:Q65"/>
    <mergeCell ref="R65:S65"/>
    <mergeCell ref="X58:Y58"/>
    <mergeCell ref="T57:U57"/>
    <mergeCell ref="V57:W57"/>
    <mergeCell ref="X57:Y57"/>
    <mergeCell ref="R63:S63"/>
    <mergeCell ref="X63:Y63"/>
    <mergeCell ref="T60:U60"/>
    <mergeCell ref="T61:U61"/>
    <mergeCell ref="T62:U62"/>
    <mergeCell ref="V60:W60"/>
    <mergeCell ref="P145:Q145"/>
    <mergeCell ref="R145:S145"/>
    <mergeCell ref="T145:U145"/>
    <mergeCell ref="V145:W145"/>
    <mergeCell ref="X145:Y145"/>
    <mergeCell ref="R134:S134"/>
    <mergeCell ref="T134:U134"/>
    <mergeCell ref="V134:W134"/>
    <mergeCell ref="X134:Y134"/>
    <mergeCell ref="P134:Q134"/>
    <mergeCell ref="P135:Q135"/>
    <mergeCell ref="R135:S135"/>
    <mergeCell ref="T135:U135"/>
    <mergeCell ref="V135:W135"/>
    <mergeCell ref="X135:Y135"/>
    <mergeCell ref="P136:Q136"/>
    <mergeCell ref="R136:S136"/>
    <mergeCell ref="T136:U136"/>
    <mergeCell ref="V136:W136"/>
    <mergeCell ref="X136:Y136"/>
    <mergeCell ref="V137:W137"/>
    <mergeCell ref="X137:Y137"/>
    <mergeCell ref="P138:Q138"/>
    <mergeCell ref="R138:S138"/>
    <mergeCell ref="B145:C145"/>
    <mergeCell ref="D145:E145"/>
    <mergeCell ref="F145:G145"/>
    <mergeCell ref="H145:I145"/>
    <mergeCell ref="J145:K145"/>
    <mergeCell ref="L145:M145"/>
    <mergeCell ref="N145:O145"/>
    <mergeCell ref="B134:C134"/>
    <mergeCell ref="D134:E134"/>
    <mergeCell ref="F134:G134"/>
    <mergeCell ref="H134:I134"/>
    <mergeCell ref="J134:K134"/>
    <mergeCell ref="L134:M134"/>
    <mergeCell ref="N134:O134"/>
    <mergeCell ref="N135:O135"/>
    <mergeCell ref="N136:O136"/>
    <mergeCell ref="D135:E135"/>
    <mergeCell ref="F135:G135"/>
    <mergeCell ref="H135:I135"/>
    <mergeCell ref="J135:K135"/>
    <mergeCell ref="L135:M135"/>
    <mergeCell ref="D136:E136"/>
    <mergeCell ref="F136:G136"/>
    <mergeCell ref="H136:I136"/>
    <mergeCell ref="G2:O4"/>
    <mergeCell ref="O132:P132"/>
    <mergeCell ref="D59:E59"/>
    <mergeCell ref="B59:C59"/>
    <mergeCell ref="H63:I63"/>
    <mergeCell ref="L65:M65"/>
    <mergeCell ref="B63:C63"/>
    <mergeCell ref="P106:Q106"/>
    <mergeCell ref="D63:E63"/>
    <mergeCell ref="F63:G63"/>
    <mergeCell ref="O37:O40"/>
    <mergeCell ref="F37:H39"/>
    <mergeCell ref="E37:E40"/>
    <mergeCell ref="C37:D40"/>
    <mergeCell ref="C41:D41"/>
    <mergeCell ref="C42:D42"/>
    <mergeCell ref="C43:D43"/>
    <mergeCell ref="N56:O56"/>
    <mergeCell ref="L56:M56"/>
    <mergeCell ref="L57:M57"/>
    <mergeCell ref="N57:O57"/>
    <mergeCell ref="P57:Q57"/>
    <mergeCell ref="N119:O119"/>
    <mergeCell ref="N65:O65"/>
    <mergeCell ref="T53:U53"/>
    <mergeCell ref="V53:W53"/>
    <mergeCell ref="X53:Y53"/>
    <mergeCell ref="B57:C57"/>
    <mergeCell ref="D57:E57"/>
    <mergeCell ref="F57:G57"/>
    <mergeCell ref="H57:I57"/>
    <mergeCell ref="J57:K57"/>
    <mergeCell ref="N55:O55"/>
    <mergeCell ref="L55:M55"/>
    <mergeCell ref="F56:G56"/>
    <mergeCell ref="H56:I56"/>
    <mergeCell ref="B56:C56"/>
    <mergeCell ref="D56:E56"/>
  </mergeCells>
  <dataValidations count="2">
    <dataValidation type="list" allowBlank="1" showInputMessage="1" showErrorMessage="1" sqref="N71">
      <formula1>$AB$21:$AB$34</formula1>
    </dataValidation>
    <dataValidation type="list" allowBlank="1" showInputMessage="1" showErrorMessage="1" sqref="V41:W50">
      <formula1>$AC$20:$AC$32</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2:Y60"/>
  <sheetViews>
    <sheetView showGridLines="0" zoomScale="82" zoomScaleNormal="82" workbookViewId="0">
      <pane ySplit="4" topLeftCell="A5" activePane="bottomLeft" state="frozen"/>
      <selection pane="bottomLeft" activeCell="V32" sqref="V32:W32"/>
    </sheetView>
  </sheetViews>
  <sheetFormatPr defaultRowHeight="15" x14ac:dyDescent="0.25"/>
  <cols>
    <col min="1" max="1" width="12.7109375" customWidth="1"/>
  </cols>
  <sheetData>
    <row r="2" spans="1:25" x14ac:dyDescent="0.25">
      <c r="G2" s="903" t="s">
        <v>167</v>
      </c>
      <c r="H2" s="904"/>
      <c r="I2" s="904"/>
      <c r="J2" s="904"/>
      <c r="K2" s="904"/>
      <c r="L2" s="904"/>
      <c r="M2" s="904"/>
      <c r="N2" s="904"/>
      <c r="O2" s="905"/>
    </row>
    <row r="3" spans="1:25" x14ac:dyDescent="0.25">
      <c r="G3" s="906"/>
      <c r="H3" s="907"/>
      <c r="I3" s="907"/>
      <c r="J3" s="907"/>
      <c r="K3" s="907"/>
      <c r="L3" s="907"/>
      <c r="M3" s="907"/>
      <c r="N3" s="907"/>
      <c r="O3" s="908"/>
    </row>
    <row r="4" spans="1:25" x14ac:dyDescent="0.25">
      <c r="G4" s="909"/>
      <c r="H4" s="910"/>
      <c r="I4" s="910"/>
      <c r="J4" s="910"/>
      <c r="K4" s="910"/>
      <c r="L4" s="910"/>
      <c r="M4" s="910"/>
      <c r="N4" s="910"/>
      <c r="O4" s="911"/>
    </row>
    <row r="5" spans="1:25" s="7" customFormat="1" x14ac:dyDescent="0.25">
      <c r="B5" s="286"/>
      <c r="C5" s="286"/>
      <c r="D5" s="286"/>
      <c r="E5" s="286"/>
      <c r="F5" s="286"/>
      <c r="G5" s="286"/>
      <c r="H5" s="286"/>
      <c r="I5" s="286"/>
      <c r="J5" s="286"/>
      <c r="K5" s="286"/>
      <c r="L5" s="286"/>
      <c r="M5" s="286"/>
      <c r="N5" s="286"/>
      <c r="O5" s="286"/>
      <c r="P5" s="286"/>
      <c r="Q5" s="286"/>
      <c r="R5" s="286"/>
      <c r="S5" s="286"/>
      <c r="T5" s="286"/>
      <c r="U5" s="286"/>
      <c r="V5" s="286"/>
      <c r="W5" s="286"/>
      <c r="X5" s="286"/>
      <c r="Y5" s="286"/>
    </row>
    <row r="6" spans="1:25" s="345" customFormat="1" x14ac:dyDescent="0.25">
      <c r="A6" s="345" t="s">
        <v>170</v>
      </c>
    </row>
    <row r="7" spans="1:25" s="7" customFormat="1" x14ac:dyDescent="0.25"/>
    <row r="8" spans="1:25" s="7" customFormat="1" x14ac:dyDescent="0.25">
      <c r="C8" s="352" t="s">
        <v>257</v>
      </c>
      <c r="D8" s="352"/>
      <c r="E8" s="352"/>
      <c r="F8" s="352"/>
      <c r="G8" s="352"/>
      <c r="H8" s="352"/>
      <c r="I8" s="352"/>
      <c r="J8" s="352"/>
      <c r="K8" s="352"/>
      <c r="L8" s="352"/>
      <c r="O8" s="925">
        <f>'1 - General Data'!G12</f>
        <v>2013</v>
      </c>
      <c r="P8" s="830"/>
    </row>
    <row r="9" spans="1:25" s="7" customFormat="1" x14ac:dyDescent="0.25"/>
    <row r="10" spans="1:25" s="7" customFormat="1" ht="30" customHeight="1" x14ac:dyDescent="0.25">
      <c r="C10" s="915" t="s">
        <v>58</v>
      </c>
      <c r="D10" s="916"/>
      <c r="E10" s="916"/>
      <c r="F10" s="346" t="str">
        <f>'3 - Demand Livestock'!H9</f>
        <v>FAO LU</v>
      </c>
      <c r="G10" s="919" t="s">
        <v>60</v>
      </c>
      <c r="H10" s="920"/>
      <c r="I10" s="915" t="s">
        <v>21</v>
      </c>
      <c r="J10" s="918"/>
      <c r="K10" s="915" t="s">
        <v>168</v>
      </c>
      <c r="L10" s="918"/>
      <c r="M10" s="915" t="s">
        <v>61</v>
      </c>
      <c r="N10" s="918"/>
      <c r="O10" s="915" t="s">
        <v>169</v>
      </c>
      <c r="P10" s="918"/>
    </row>
    <row r="11" spans="1:25" s="7" customFormat="1" x14ac:dyDescent="0.25">
      <c r="C11" s="917" t="str">
        <f>'3 - Demand Livestock'!E12</f>
        <v>Cattle</v>
      </c>
      <c r="D11" s="918"/>
      <c r="E11" s="918"/>
      <c r="F11" s="347">
        <f>'3 - Demand Livestock'!H12</f>
        <v>0.5</v>
      </c>
      <c r="G11" s="921">
        <v>10000</v>
      </c>
      <c r="H11" s="922"/>
      <c r="I11" s="926">
        <f>F11*G11+F12*G12+F13*G13+F14*G14+F15*G15</f>
        <v>5550</v>
      </c>
      <c r="J11" s="927"/>
      <c r="K11" s="923">
        <f>'3 - Demand Livestock'!M11</f>
        <v>50</v>
      </c>
      <c r="L11" s="924"/>
      <c r="M11" s="923">
        <f>K11*I11/1000</f>
        <v>277.5</v>
      </c>
      <c r="N11" s="924"/>
      <c r="O11" s="923">
        <f>M11*30</f>
        <v>8325</v>
      </c>
      <c r="P11" s="924"/>
    </row>
    <row r="12" spans="1:25" s="7" customFormat="1" x14ac:dyDescent="0.25">
      <c r="C12" s="917" t="str">
        <f>'3 - Demand Livestock'!E13</f>
        <v>Goats</v>
      </c>
      <c r="D12" s="918"/>
      <c r="E12" s="918"/>
      <c r="F12" s="347">
        <f>'3 - Demand Livestock'!H13</f>
        <v>0.1</v>
      </c>
      <c r="G12" s="921"/>
      <c r="H12" s="922"/>
      <c r="I12" s="928"/>
      <c r="J12" s="929"/>
      <c r="K12" s="924"/>
      <c r="L12" s="924"/>
      <c r="M12" s="924"/>
      <c r="N12" s="924"/>
      <c r="O12" s="924"/>
      <c r="P12" s="924"/>
    </row>
    <row r="13" spans="1:25" s="7" customFormat="1" x14ac:dyDescent="0.25">
      <c r="C13" s="917" t="str">
        <f>'3 - Demand Livestock'!E14</f>
        <v>Sheep</v>
      </c>
      <c r="D13" s="918"/>
      <c r="E13" s="918"/>
      <c r="F13" s="347">
        <f>'3 - Demand Livestock'!H14</f>
        <v>0.1</v>
      </c>
      <c r="G13" s="921"/>
      <c r="H13" s="922"/>
      <c r="I13" s="928"/>
      <c r="J13" s="929"/>
      <c r="K13" s="924"/>
      <c r="L13" s="924"/>
      <c r="M13" s="924"/>
      <c r="N13" s="924"/>
      <c r="O13" s="924"/>
      <c r="P13" s="924"/>
    </row>
    <row r="14" spans="1:25" s="7" customFormat="1" x14ac:dyDescent="0.25">
      <c r="C14" s="917" t="str">
        <f>'3 - Demand Livestock'!E15</f>
        <v>Camels</v>
      </c>
      <c r="D14" s="918"/>
      <c r="E14" s="918"/>
      <c r="F14" s="347">
        <f>'3 - Demand Livestock'!H15</f>
        <v>1.1000000000000001</v>
      </c>
      <c r="G14" s="921">
        <v>500</v>
      </c>
      <c r="H14" s="922"/>
      <c r="I14" s="928"/>
      <c r="J14" s="929"/>
      <c r="K14" s="924"/>
      <c r="L14" s="924"/>
      <c r="M14" s="924"/>
      <c r="N14" s="924"/>
      <c r="O14" s="924"/>
      <c r="P14" s="924"/>
    </row>
    <row r="15" spans="1:25" s="7" customFormat="1" x14ac:dyDescent="0.25">
      <c r="C15" s="917" t="str">
        <f>'3 - Demand Livestock'!E16</f>
        <v>Donkey</v>
      </c>
      <c r="D15" s="918"/>
      <c r="E15" s="918"/>
      <c r="F15" s="347">
        <f>'3 - Demand Livestock'!H16</f>
        <v>0.6</v>
      </c>
      <c r="G15" s="921"/>
      <c r="H15" s="922"/>
      <c r="I15" s="930"/>
      <c r="J15" s="931"/>
      <c r="K15" s="924"/>
      <c r="L15" s="924"/>
      <c r="M15" s="924"/>
      <c r="N15" s="924"/>
      <c r="O15" s="924"/>
      <c r="P15" s="924"/>
    </row>
    <row r="16" spans="1:25" s="7" customFormat="1" x14ac:dyDescent="0.25">
      <c r="C16" s="343"/>
      <c r="D16" s="342"/>
      <c r="E16" s="342"/>
      <c r="F16" s="350"/>
      <c r="G16" s="330"/>
      <c r="H16" s="330"/>
      <c r="I16" s="351"/>
      <c r="J16" s="351"/>
      <c r="K16" s="351"/>
      <c r="L16" s="351"/>
      <c r="M16" s="351"/>
      <c r="N16" s="351"/>
      <c r="O16" s="351"/>
      <c r="P16" s="351"/>
    </row>
    <row r="17" spans="1:25" s="7" customFormat="1" x14ac:dyDescent="0.25">
      <c r="C17" s="343"/>
      <c r="D17" s="342"/>
      <c r="E17" s="342"/>
      <c r="F17" s="350"/>
      <c r="G17" s="330"/>
      <c r="H17" s="330"/>
      <c r="I17" s="351"/>
      <c r="J17" s="351"/>
      <c r="K17" s="351"/>
      <c r="L17" s="351"/>
      <c r="M17" s="351"/>
      <c r="N17" s="351"/>
      <c r="O17" s="351"/>
      <c r="P17" s="351"/>
    </row>
    <row r="18" spans="1:25" s="7" customFormat="1" x14ac:dyDescent="0.25">
      <c r="C18" s="352" t="s">
        <v>258</v>
      </c>
      <c r="D18" s="352"/>
      <c r="E18" s="352"/>
      <c r="F18" s="352"/>
      <c r="G18" s="352"/>
      <c r="H18" s="352"/>
      <c r="I18" s="352"/>
      <c r="J18" s="352"/>
      <c r="K18" s="352"/>
      <c r="L18" s="352"/>
    </row>
    <row r="19" spans="1:25" s="7" customFormat="1" x14ac:dyDescent="0.25"/>
    <row r="20" spans="1:25" s="7" customFormat="1" x14ac:dyDescent="0.25">
      <c r="E20" s="118"/>
      <c r="F20" s="177"/>
      <c r="G20" s="118"/>
      <c r="H20" s="727" t="s">
        <v>67</v>
      </c>
      <c r="I20" s="728"/>
      <c r="J20" s="728"/>
      <c r="K20" s="701"/>
    </row>
    <row r="21" spans="1:25" s="7" customFormat="1" x14ac:dyDescent="0.25">
      <c r="E21" s="118"/>
      <c r="F21" s="176"/>
      <c r="G21" s="118"/>
      <c r="H21" s="754" t="s">
        <v>2</v>
      </c>
      <c r="I21" s="755"/>
      <c r="J21" s="728"/>
      <c r="K21" s="701"/>
    </row>
    <row r="22" spans="1:25" s="7" customFormat="1" x14ac:dyDescent="0.25">
      <c r="E22" s="118"/>
      <c r="F22" s="124"/>
      <c r="G22" s="118"/>
      <c r="H22" s="932">
        <f>'2 - Demand Domestic'!I10</f>
        <v>20</v>
      </c>
      <c r="I22" s="815"/>
      <c r="J22" s="933"/>
      <c r="K22" s="822"/>
    </row>
    <row r="23" spans="1:25" s="7" customFormat="1" x14ac:dyDescent="0.25">
      <c r="E23" s="122" t="s">
        <v>0</v>
      </c>
      <c r="F23" s="122" t="s">
        <v>1</v>
      </c>
      <c r="G23" s="118"/>
      <c r="H23" s="118"/>
      <c r="I23" s="118"/>
      <c r="J23" s="118"/>
      <c r="K23" s="118"/>
    </row>
    <row r="24" spans="1:25" s="7" customFormat="1" x14ac:dyDescent="0.25">
      <c r="E24" s="184">
        <f>O8</f>
        <v>2013</v>
      </c>
      <c r="F24" s="353">
        <v>100</v>
      </c>
      <c r="G24" s="159"/>
      <c r="H24" s="770">
        <f>F24*H22</f>
        <v>2000</v>
      </c>
      <c r="I24" s="771"/>
      <c r="J24" s="772" t="s">
        <v>28</v>
      </c>
      <c r="K24" s="773"/>
    </row>
    <row r="25" spans="1:25" s="7" customFormat="1" x14ac:dyDescent="0.25">
      <c r="E25" s="162"/>
      <c r="F25" s="163"/>
      <c r="G25" s="165"/>
      <c r="H25" s="781">
        <f>H24*0.001</f>
        <v>2</v>
      </c>
      <c r="I25" s="912"/>
      <c r="J25" s="783" t="s">
        <v>5</v>
      </c>
      <c r="K25" s="934"/>
    </row>
    <row r="26" spans="1:25" s="7" customFormat="1" x14ac:dyDescent="0.25"/>
    <row r="27" spans="1:25" s="7" customFormat="1" x14ac:dyDescent="0.25"/>
    <row r="28" spans="1:25" s="7" customFormat="1" x14ac:dyDescent="0.25">
      <c r="C28" s="352" t="s">
        <v>260</v>
      </c>
      <c r="D28" s="352"/>
      <c r="E28" s="352"/>
      <c r="F28" s="352"/>
      <c r="G28" s="352"/>
      <c r="H28" s="352"/>
      <c r="I28" s="352"/>
      <c r="J28" s="352"/>
      <c r="K28" s="352"/>
      <c r="L28" s="352"/>
    </row>
    <row r="29" spans="1:25" s="7" customFormat="1" ht="15.75" x14ac:dyDescent="0.25">
      <c r="C29" s="543" t="s">
        <v>259</v>
      </c>
    </row>
    <row r="30" spans="1:25" s="7" customFormat="1" x14ac:dyDescent="0.25"/>
    <row r="31" spans="1:25" s="234" customFormat="1" x14ac:dyDescent="0.25">
      <c r="B31" s="846" t="s">
        <v>92</v>
      </c>
      <c r="C31" s="830"/>
      <c r="D31" s="846" t="s">
        <v>93</v>
      </c>
      <c r="E31" s="830"/>
      <c r="F31" s="846" t="s">
        <v>94</v>
      </c>
      <c r="G31" s="830"/>
      <c r="H31" s="846" t="s">
        <v>95</v>
      </c>
      <c r="I31" s="830"/>
      <c r="J31" s="846" t="s">
        <v>96</v>
      </c>
      <c r="K31" s="830"/>
      <c r="L31" s="846" t="s">
        <v>97</v>
      </c>
      <c r="M31" s="830"/>
      <c r="N31" s="846" t="s">
        <v>98</v>
      </c>
      <c r="O31" s="830"/>
      <c r="P31" s="846" t="s">
        <v>99</v>
      </c>
      <c r="Q31" s="830"/>
      <c r="R31" s="846" t="s">
        <v>100</v>
      </c>
      <c r="S31" s="830"/>
      <c r="T31" s="864" t="s">
        <v>101</v>
      </c>
      <c r="U31" s="865"/>
      <c r="V31" s="846" t="s">
        <v>102</v>
      </c>
      <c r="W31" s="830"/>
      <c r="X31" s="846" t="s">
        <v>103</v>
      </c>
      <c r="Y31" s="830"/>
    </row>
    <row r="32" spans="1:25" s="234" customFormat="1" x14ac:dyDescent="0.25">
      <c r="A32" s="348"/>
      <c r="B32" s="913">
        <v>0.5</v>
      </c>
      <c r="C32" s="914"/>
      <c r="D32" s="913">
        <v>0</v>
      </c>
      <c r="E32" s="914"/>
      <c r="F32" s="913">
        <v>0</v>
      </c>
      <c r="G32" s="914"/>
      <c r="H32" s="913">
        <v>0</v>
      </c>
      <c r="I32" s="914"/>
      <c r="J32" s="913">
        <v>0</v>
      </c>
      <c r="K32" s="914"/>
      <c r="L32" s="913">
        <v>0</v>
      </c>
      <c r="M32" s="914"/>
      <c r="N32" s="913">
        <v>0</v>
      </c>
      <c r="O32" s="914"/>
      <c r="P32" s="913">
        <v>0</v>
      </c>
      <c r="Q32" s="914"/>
      <c r="R32" s="913">
        <v>0.5</v>
      </c>
      <c r="S32" s="914"/>
      <c r="T32" s="913">
        <v>0.8</v>
      </c>
      <c r="U32" s="914"/>
      <c r="V32" s="913">
        <v>1</v>
      </c>
      <c r="W32" s="914"/>
      <c r="X32" s="913">
        <v>0.8</v>
      </c>
      <c r="Y32" s="914"/>
    </row>
    <row r="33" spans="1:25" s="234" customFormat="1" x14ac:dyDescent="0.25">
      <c r="A33" s="348"/>
      <c r="B33" s="349"/>
      <c r="C33" s="341"/>
      <c r="D33" s="349"/>
      <c r="E33" s="341"/>
      <c r="F33" s="349"/>
      <c r="G33" s="341"/>
      <c r="H33" s="349"/>
      <c r="I33" s="341"/>
      <c r="J33" s="349"/>
      <c r="K33" s="341"/>
      <c r="L33" s="349"/>
      <c r="M33" s="341"/>
      <c r="N33" s="349"/>
      <c r="O33" s="341"/>
      <c r="P33" s="349"/>
      <c r="Q33" s="341"/>
      <c r="R33" s="349"/>
      <c r="S33" s="341"/>
      <c r="T33" s="349"/>
      <c r="U33" s="341"/>
      <c r="V33" s="349"/>
      <c r="W33" s="341"/>
      <c r="X33" s="349"/>
      <c r="Y33" s="341"/>
    </row>
    <row r="34" spans="1:25" s="345" customFormat="1" x14ac:dyDescent="0.25">
      <c r="A34" s="345" t="s">
        <v>183</v>
      </c>
    </row>
    <row r="35" spans="1:25" s="7" customFormat="1" x14ac:dyDescent="0.25"/>
    <row r="36" spans="1:25" s="7" customFormat="1" x14ac:dyDescent="0.25">
      <c r="C36" s="352" t="s">
        <v>184</v>
      </c>
      <c r="D36" s="352"/>
      <c r="E36" s="352"/>
      <c r="F36" s="352"/>
      <c r="G36" s="352"/>
      <c r="H36" s="352"/>
      <c r="I36" s="352"/>
      <c r="J36" s="352"/>
      <c r="K36" s="352"/>
      <c r="L36" s="352"/>
      <c r="M36" s="352"/>
      <c r="N36" s="352"/>
    </row>
    <row r="37" spans="1:25" s="234" customFormat="1" x14ac:dyDescent="0.25">
      <c r="A37" s="337"/>
      <c r="B37" s="294"/>
      <c r="C37" s="294"/>
      <c r="D37" s="294"/>
      <c r="E37" s="294"/>
      <c r="F37" s="294"/>
      <c r="G37" s="118"/>
      <c r="H37" s="118"/>
      <c r="I37" s="151"/>
      <c r="J37" s="118"/>
      <c r="K37" s="329"/>
      <c r="L37" s="177"/>
      <c r="M37" s="329"/>
      <c r="N37" s="177"/>
      <c r="O37" s="845"/>
      <c r="P37" s="845"/>
      <c r="Q37" s="294"/>
      <c r="R37" s="294"/>
      <c r="S37" s="294"/>
      <c r="T37" s="294"/>
      <c r="U37" s="294"/>
      <c r="V37" s="294"/>
      <c r="W37" s="294"/>
      <c r="X37" s="294"/>
      <c r="Y37" s="294"/>
    </row>
    <row r="38" spans="1:25" s="234" customFormat="1" x14ac:dyDescent="0.25">
      <c r="A38" s="337"/>
      <c r="B38" s="846" t="s">
        <v>92</v>
      </c>
      <c r="C38" s="830"/>
      <c r="D38" s="846" t="s">
        <v>93</v>
      </c>
      <c r="E38" s="830"/>
      <c r="F38" s="846" t="s">
        <v>94</v>
      </c>
      <c r="G38" s="830"/>
      <c r="H38" s="846" t="s">
        <v>95</v>
      </c>
      <c r="I38" s="830"/>
      <c r="J38" s="846" t="s">
        <v>96</v>
      </c>
      <c r="K38" s="830"/>
      <c r="L38" s="846" t="s">
        <v>97</v>
      </c>
      <c r="M38" s="830"/>
      <c r="N38" s="846" t="s">
        <v>98</v>
      </c>
      <c r="O38" s="830"/>
      <c r="P38" s="846" t="s">
        <v>99</v>
      </c>
      <c r="Q38" s="830"/>
      <c r="R38" s="846" t="s">
        <v>100</v>
      </c>
      <c r="S38" s="830"/>
      <c r="T38" s="864" t="s">
        <v>101</v>
      </c>
      <c r="U38" s="865"/>
      <c r="V38" s="846" t="s">
        <v>102</v>
      </c>
      <c r="W38" s="830"/>
      <c r="X38" s="846" t="s">
        <v>103</v>
      </c>
      <c r="Y38" s="830"/>
    </row>
    <row r="39" spans="1:25" s="234" customFormat="1" x14ac:dyDescent="0.25">
      <c r="A39" s="322">
        <f>'1 - General Data'!J18</f>
        <v>2013</v>
      </c>
      <c r="B39" s="862">
        <f>B32*($H$25+$O$11)</f>
        <v>4163.5</v>
      </c>
      <c r="C39" s="863"/>
      <c r="D39" s="862">
        <f>D32*($H$25+$O$11)</f>
        <v>0</v>
      </c>
      <c r="E39" s="863"/>
      <c r="F39" s="862">
        <f>F32*($H$25+$O$11)</f>
        <v>0</v>
      </c>
      <c r="G39" s="863"/>
      <c r="H39" s="862">
        <f>H32*($H$25+$O$11)</f>
        <v>0</v>
      </c>
      <c r="I39" s="863"/>
      <c r="J39" s="862">
        <f>J32*($H$25+$O$11)</f>
        <v>0</v>
      </c>
      <c r="K39" s="863"/>
      <c r="L39" s="862">
        <f>L32*($H$25+$O$11)</f>
        <v>0</v>
      </c>
      <c r="M39" s="863"/>
      <c r="N39" s="862">
        <f>N32*($H$25+$O$11)</f>
        <v>0</v>
      </c>
      <c r="O39" s="863"/>
      <c r="P39" s="862">
        <f>P32*($H$25+$O$11)</f>
        <v>0</v>
      </c>
      <c r="Q39" s="863"/>
      <c r="R39" s="862">
        <f>R32*($H$25+$O$11)</f>
        <v>4163.5</v>
      </c>
      <c r="S39" s="863"/>
      <c r="T39" s="862">
        <f>T32*($H$25+$O$11)</f>
        <v>6661.6</v>
      </c>
      <c r="U39" s="863"/>
      <c r="V39" s="862">
        <f>V32*($H$25+$O$11)</f>
        <v>8327</v>
      </c>
      <c r="W39" s="863"/>
      <c r="X39" s="862">
        <f>X32*($H$25+$O$11)</f>
        <v>6661.6</v>
      </c>
      <c r="Y39" s="863"/>
    </row>
    <row r="40" spans="1:25" x14ac:dyDescent="0.25">
      <c r="A40" s="2">
        <f>'1 - General Data'!J19</f>
        <v>2023</v>
      </c>
      <c r="B40" s="862">
        <f>B39*'1 - General Data'!$O$19</f>
        <v>5595.3958453992509</v>
      </c>
      <c r="C40" s="863"/>
      <c r="D40" s="862">
        <f>D39*'1 - General Data'!$O$19</f>
        <v>0</v>
      </c>
      <c r="E40" s="863"/>
      <c r="F40" s="862">
        <f>F39*'1 - General Data'!$O$19</f>
        <v>0</v>
      </c>
      <c r="G40" s="863"/>
      <c r="H40" s="862">
        <f>H39*'1 - General Data'!$O$19</f>
        <v>0</v>
      </c>
      <c r="I40" s="863"/>
      <c r="J40" s="862">
        <f>J39*'1 - General Data'!$O$19</f>
        <v>0</v>
      </c>
      <c r="K40" s="863"/>
      <c r="L40" s="862">
        <f>L39*'1 - General Data'!$O$19</f>
        <v>0</v>
      </c>
      <c r="M40" s="863"/>
      <c r="N40" s="862">
        <f>N39*'1 - General Data'!$O$19</f>
        <v>0</v>
      </c>
      <c r="O40" s="863"/>
      <c r="P40" s="862">
        <f>P39*'1 - General Data'!$O$19</f>
        <v>0</v>
      </c>
      <c r="Q40" s="863"/>
      <c r="R40" s="862">
        <f>R39*'1 - General Data'!$O$19</f>
        <v>5595.3958453992509</v>
      </c>
      <c r="S40" s="863"/>
      <c r="T40" s="862">
        <f>T39*'1 - General Data'!$O$19</f>
        <v>8952.6333526388025</v>
      </c>
      <c r="U40" s="863"/>
      <c r="V40" s="862">
        <f>V39*'1 - General Data'!$O$19</f>
        <v>11190.791690798502</v>
      </c>
      <c r="W40" s="863"/>
      <c r="X40" s="862">
        <f>X39*'1 - General Data'!$O$19</f>
        <v>8952.6333526388025</v>
      </c>
      <c r="Y40" s="863"/>
    </row>
    <row r="41" spans="1:25" x14ac:dyDescent="0.25">
      <c r="A41" s="2">
        <f>'1 - General Data'!J20</f>
        <v>2033</v>
      </c>
      <c r="B41" s="862">
        <f>B39*'1 - General Data'!$O$20</f>
        <v>7519.7441255461017</v>
      </c>
      <c r="C41" s="863"/>
      <c r="D41" s="862">
        <f>D39*'1 - General Data'!$O$20</f>
        <v>0</v>
      </c>
      <c r="E41" s="863"/>
      <c r="F41" s="862">
        <f>F39*'1 - General Data'!$O$20</f>
        <v>0</v>
      </c>
      <c r="G41" s="863"/>
      <c r="H41" s="862">
        <f>H39*'1 - General Data'!$O$20</f>
        <v>0</v>
      </c>
      <c r="I41" s="863"/>
      <c r="J41" s="862">
        <f>J39*'1 - General Data'!$O$20</f>
        <v>0</v>
      </c>
      <c r="K41" s="863"/>
      <c r="L41" s="862">
        <f>L39*'1 - General Data'!$O$20</f>
        <v>0</v>
      </c>
      <c r="M41" s="863"/>
      <c r="N41" s="862">
        <f>N39*'1 - General Data'!$O$20</f>
        <v>0</v>
      </c>
      <c r="O41" s="863"/>
      <c r="P41" s="862">
        <f>P39*'1 - General Data'!$O$20</f>
        <v>0</v>
      </c>
      <c r="Q41" s="863"/>
      <c r="R41" s="862">
        <f>R39*'1 - General Data'!$O$20</f>
        <v>7519.7441255461017</v>
      </c>
      <c r="S41" s="863"/>
      <c r="T41" s="862">
        <f>T39*'1 - General Data'!$O$20</f>
        <v>12031.590600873764</v>
      </c>
      <c r="U41" s="863"/>
      <c r="V41" s="862">
        <f>V39*'1 - General Data'!$O$20</f>
        <v>15039.488251092203</v>
      </c>
      <c r="W41" s="863"/>
      <c r="X41" s="862">
        <f>X39*'1 - General Data'!$O$20</f>
        <v>12031.590600873764</v>
      </c>
      <c r="Y41" s="863"/>
    </row>
    <row r="42" spans="1:25" x14ac:dyDescent="0.25">
      <c r="A42" s="2"/>
      <c r="B42" s="372"/>
      <c r="C42" s="372"/>
      <c r="D42" s="372"/>
      <c r="E42" s="372"/>
      <c r="F42" s="372"/>
      <c r="G42" s="372"/>
      <c r="H42" s="372"/>
      <c r="I42" s="372"/>
      <c r="J42" s="372"/>
      <c r="K42" s="372"/>
      <c r="L42" s="372"/>
      <c r="M42" s="372"/>
      <c r="N42" s="372"/>
      <c r="O42" s="372"/>
      <c r="P42" s="372"/>
      <c r="Q42" s="372"/>
      <c r="R42" s="372"/>
      <c r="S42" s="372"/>
      <c r="T42" s="372"/>
      <c r="U42" s="372"/>
      <c r="V42" s="372"/>
      <c r="W42" s="372"/>
      <c r="X42" s="372"/>
      <c r="Y42" s="372"/>
    </row>
    <row r="43" spans="1:25" s="7" customFormat="1" x14ac:dyDescent="0.25">
      <c r="C43" s="352" t="s">
        <v>185</v>
      </c>
      <c r="D43" s="352"/>
      <c r="E43" s="352"/>
      <c r="F43" s="352"/>
      <c r="G43" s="352"/>
      <c r="H43" s="352"/>
      <c r="I43" s="352"/>
      <c r="J43" s="352"/>
      <c r="K43" s="352"/>
      <c r="L43" s="352"/>
      <c r="M43" s="352"/>
      <c r="N43" s="352"/>
    </row>
    <row r="44" spans="1:25" x14ac:dyDescent="0.25">
      <c r="G44" s="125"/>
      <c r="H44" s="125"/>
      <c r="I44" s="195"/>
      <c r="J44" s="319"/>
      <c r="K44" s="320"/>
      <c r="L44" s="336"/>
      <c r="M44" s="320"/>
      <c r="N44" s="336"/>
      <c r="O44" s="320"/>
      <c r="P44" s="336"/>
      <c r="Q44" s="3"/>
      <c r="R44" s="3"/>
    </row>
    <row r="45" spans="1:25" s="234" customFormat="1" x14ac:dyDescent="0.25">
      <c r="A45" s="343"/>
      <c r="B45" s="939" t="s">
        <v>25</v>
      </c>
      <c r="C45" s="940"/>
      <c r="D45" s="880"/>
      <c r="E45" s="825"/>
      <c r="F45" s="876"/>
      <c r="G45" s="876"/>
      <c r="H45" s="876"/>
      <c r="I45" s="876"/>
      <c r="J45" s="876"/>
      <c r="K45" s="876"/>
      <c r="L45" s="876"/>
      <c r="M45" s="876"/>
      <c r="N45" s="876"/>
      <c r="O45" s="876"/>
      <c r="P45" s="876"/>
      <c r="Q45" s="876"/>
      <c r="R45" s="876"/>
      <c r="S45" s="876"/>
      <c r="T45" s="896"/>
      <c r="U45" s="896"/>
      <c r="V45" s="876"/>
      <c r="W45" s="876"/>
      <c r="X45" s="876"/>
      <c r="Y45" s="876"/>
    </row>
    <row r="46" spans="1:25" s="234" customFormat="1" x14ac:dyDescent="0.25">
      <c r="A46" s="322">
        <f>A39</f>
        <v>2013</v>
      </c>
      <c r="B46" s="945">
        <f>SUM(B39:Y39)</f>
        <v>29977.199999999997</v>
      </c>
      <c r="C46" s="946"/>
      <c r="D46" s="947" t="s">
        <v>171</v>
      </c>
      <c r="E46" s="948"/>
      <c r="F46" s="899"/>
      <c r="G46" s="899"/>
      <c r="H46" s="899"/>
      <c r="I46" s="899"/>
      <c r="J46" s="899"/>
      <c r="K46" s="899"/>
      <c r="L46" s="899"/>
      <c r="M46" s="899"/>
      <c r="N46" s="899"/>
      <c r="O46" s="899"/>
      <c r="P46" s="899"/>
      <c r="Q46" s="899"/>
      <c r="R46" s="899"/>
      <c r="S46" s="899"/>
      <c r="T46" s="899"/>
      <c r="U46" s="899"/>
      <c r="V46" s="899"/>
      <c r="W46" s="899"/>
      <c r="X46" s="899"/>
      <c r="Y46" s="899"/>
    </row>
    <row r="47" spans="1:25" x14ac:dyDescent="0.25">
      <c r="A47" s="322">
        <f>A40</f>
        <v>2023</v>
      </c>
      <c r="B47" s="935">
        <f>SUM(B40:Y40)</f>
        <v>40286.850086874605</v>
      </c>
      <c r="C47" s="936"/>
      <c r="D47" s="937" t="s">
        <v>171</v>
      </c>
      <c r="E47" s="938"/>
      <c r="F47" s="899"/>
      <c r="G47" s="899"/>
      <c r="H47" s="899"/>
      <c r="I47" s="899"/>
      <c r="J47" s="899"/>
      <c r="K47" s="899"/>
      <c r="L47" s="899"/>
      <c r="M47" s="899"/>
      <c r="N47" s="899"/>
      <c r="O47" s="899"/>
      <c r="P47" s="899"/>
      <c r="Q47" s="899"/>
      <c r="R47" s="899"/>
      <c r="S47" s="899"/>
      <c r="T47" s="899"/>
      <c r="U47" s="899"/>
      <c r="V47" s="899"/>
      <c r="W47" s="899"/>
      <c r="X47" s="899"/>
      <c r="Y47" s="899"/>
    </row>
    <row r="48" spans="1:25" x14ac:dyDescent="0.25">
      <c r="A48" s="322">
        <f>A41</f>
        <v>2033</v>
      </c>
      <c r="B48" s="941">
        <f>SUM(B41:Y41)</f>
        <v>54142.157703931938</v>
      </c>
      <c r="C48" s="942"/>
      <c r="D48" s="943" t="s">
        <v>171</v>
      </c>
      <c r="E48" s="944"/>
      <c r="F48" s="899"/>
      <c r="G48" s="899"/>
      <c r="H48" s="899"/>
      <c r="I48" s="899"/>
      <c r="J48" s="899"/>
      <c r="K48" s="899"/>
      <c r="L48" s="899"/>
      <c r="M48" s="899"/>
      <c r="N48" s="899"/>
      <c r="O48" s="899"/>
      <c r="P48" s="899"/>
      <c r="Q48" s="899"/>
      <c r="R48" s="899"/>
      <c r="S48" s="899"/>
      <c r="T48" s="899"/>
      <c r="U48" s="899"/>
      <c r="V48" s="899"/>
      <c r="W48" s="899"/>
      <c r="X48" s="899"/>
      <c r="Y48" s="899"/>
    </row>
    <row r="50" spans="1:25" s="7" customFormat="1" x14ac:dyDescent="0.25">
      <c r="C50" s="352" t="s">
        <v>186</v>
      </c>
      <c r="D50" s="352"/>
      <c r="E50" s="352"/>
      <c r="F50" s="352"/>
      <c r="G50" s="352"/>
      <c r="H50" s="352"/>
      <c r="I50" s="352"/>
      <c r="J50" s="352"/>
      <c r="K50" s="352"/>
      <c r="L50" s="352"/>
      <c r="M50" s="352"/>
      <c r="N50" s="352"/>
    </row>
    <row r="51" spans="1:25" s="7" customFormat="1" x14ac:dyDescent="0.25"/>
    <row r="52" spans="1:25" s="234" customFormat="1" x14ac:dyDescent="0.25">
      <c r="A52" s="520"/>
      <c r="B52" s="846" t="s">
        <v>92</v>
      </c>
      <c r="C52" s="830"/>
      <c r="D52" s="846" t="s">
        <v>93</v>
      </c>
      <c r="E52" s="830"/>
      <c r="F52" s="846" t="s">
        <v>94</v>
      </c>
      <c r="G52" s="830"/>
      <c r="H52" s="846" t="s">
        <v>95</v>
      </c>
      <c r="I52" s="830"/>
      <c r="J52" s="846" t="s">
        <v>96</v>
      </c>
      <c r="K52" s="830"/>
      <c r="L52" s="846" t="s">
        <v>97</v>
      </c>
      <c r="M52" s="830"/>
      <c r="N52" s="846" t="s">
        <v>98</v>
      </c>
      <c r="O52" s="830"/>
      <c r="P52" s="846" t="s">
        <v>99</v>
      </c>
      <c r="Q52" s="830"/>
      <c r="R52" s="846" t="s">
        <v>100</v>
      </c>
      <c r="S52" s="830"/>
      <c r="T52" s="864" t="s">
        <v>101</v>
      </c>
      <c r="U52" s="865"/>
      <c r="V52" s="846" t="s">
        <v>102</v>
      </c>
      <c r="W52" s="830"/>
      <c r="X52" s="846" t="s">
        <v>103</v>
      </c>
      <c r="Y52" s="830"/>
    </row>
    <row r="53" spans="1:25" s="234" customFormat="1" x14ac:dyDescent="0.25">
      <c r="A53" s="546">
        <f>A39</f>
        <v>2013</v>
      </c>
      <c r="B53" s="862">
        <f>B39/30</f>
        <v>138.78333333333333</v>
      </c>
      <c r="C53" s="863"/>
      <c r="D53" s="862">
        <f>D39/30</f>
        <v>0</v>
      </c>
      <c r="E53" s="863"/>
      <c r="F53" s="862">
        <f>F39/30</f>
        <v>0</v>
      </c>
      <c r="G53" s="863"/>
      <c r="H53" s="862">
        <f>H39/30</f>
        <v>0</v>
      </c>
      <c r="I53" s="863"/>
      <c r="J53" s="862">
        <f>J39/30</f>
        <v>0</v>
      </c>
      <c r="K53" s="863"/>
      <c r="L53" s="862">
        <f>L39/30</f>
        <v>0</v>
      </c>
      <c r="M53" s="863"/>
      <c r="N53" s="862">
        <f>N39/30</f>
        <v>0</v>
      </c>
      <c r="O53" s="863"/>
      <c r="P53" s="862">
        <f>P39/30</f>
        <v>0</v>
      </c>
      <c r="Q53" s="863"/>
      <c r="R53" s="862">
        <f>R39/30</f>
        <v>138.78333333333333</v>
      </c>
      <c r="S53" s="863"/>
      <c r="T53" s="862">
        <f>T39/30</f>
        <v>222.05333333333334</v>
      </c>
      <c r="U53" s="863"/>
      <c r="V53" s="862">
        <f>V39/30</f>
        <v>277.56666666666666</v>
      </c>
      <c r="W53" s="863"/>
      <c r="X53" s="862">
        <f>X39/30</f>
        <v>222.05333333333334</v>
      </c>
      <c r="Y53" s="863"/>
    </row>
    <row r="54" spans="1:25" x14ac:dyDescent="0.25">
      <c r="A54" s="546">
        <f>A40</f>
        <v>2023</v>
      </c>
      <c r="B54" s="862">
        <f>B40/30</f>
        <v>186.51319484664171</v>
      </c>
      <c r="C54" s="863"/>
      <c r="D54" s="862">
        <f>D40/30</f>
        <v>0</v>
      </c>
      <c r="E54" s="863"/>
      <c r="F54" s="862">
        <f>F40/30</f>
        <v>0</v>
      </c>
      <c r="G54" s="863"/>
      <c r="H54" s="862">
        <f>H40/30</f>
        <v>0</v>
      </c>
      <c r="I54" s="863"/>
      <c r="J54" s="862">
        <f>J40/30</f>
        <v>0</v>
      </c>
      <c r="K54" s="863"/>
      <c r="L54" s="862">
        <f>L40/30</f>
        <v>0</v>
      </c>
      <c r="M54" s="863"/>
      <c r="N54" s="862">
        <f>N40/30</f>
        <v>0</v>
      </c>
      <c r="O54" s="863"/>
      <c r="P54" s="862">
        <f>P40/30</f>
        <v>0</v>
      </c>
      <c r="Q54" s="863"/>
      <c r="R54" s="862">
        <f>R40/30</f>
        <v>186.51319484664171</v>
      </c>
      <c r="S54" s="863"/>
      <c r="T54" s="862">
        <f>T40/30</f>
        <v>298.42111175462674</v>
      </c>
      <c r="U54" s="863"/>
      <c r="V54" s="862">
        <f>V40/30</f>
        <v>373.02638969328342</v>
      </c>
      <c r="W54" s="863"/>
      <c r="X54" s="862">
        <f>X40/30</f>
        <v>298.42111175462674</v>
      </c>
      <c r="Y54" s="863"/>
    </row>
    <row r="55" spans="1:25" x14ac:dyDescent="0.25">
      <c r="A55" s="546">
        <f>A41</f>
        <v>2033</v>
      </c>
      <c r="B55" s="862">
        <f>B41/30</f>
        <v>250.6581375182034</v>
      </c>
      <c r="C55" s="863"/>
      <c r="D55" s="862">
        <f>D41/30</f>
        <v>0</v>
      </c>
      <c r="E55" s="863"/>
      <c r="F55" s="862">
        <f>F41/30</f>
        <v>0</v>
      </c>
      <c r="G55" s="863"/>
      <c r="H55" s="862">
        <f>H41/30</f>
        <v>0</v>
      </c>
      <c r="I55" s="863"/>
      <c r="J55" s="862">
        <f>J41/30</f>
        <v>0</v>
      </c>
      <c r="K55" s="863"/>
      <c r="L55" s="862">
        <f>L41/30</f>
        <v>0</v>
      </c>
      <c r="M55" s="863"/>
      <c r="N55" s="862">
        <f>N41/30</f>
        <v>0</v>
      </c>
      <c r="O55" s="863"/>
      <c r="P55" s="862">
        <f>P41/30</f>
        <v>0</v>
      </c>
      <c r="Q55" s="863"/>
      <c r="R55" s="862">
        <f>R41/30</f>
        <v>250.6581375182034</v>
      </c>
      <c r="S55" s="863"/>
      <c r="T55" s="862">
        <f>T41/30</f>
        <v>401.05302002912543</v>
      </c>
      <c r="U55" s="863"/>
      <c r="V55" s="862">
        <f>V41/30</f>
        <v>501.31627503640681</v>
      </c>
      <c r="W55" s="863"/>
      <c r="X55" s="862">
        <f>X41/30</f>
        <v>401.05302002912543</v>
      </c>
      <c r="Y55" s="863"/>
    </row>
    <row r="56" spans="1:25" x14ac:dyDescent="0.25">
      <c r="G56" s="125"/>
      <c r="H56" s="125"/>
      <c r="I56" s="195"/>
      <c r="J56" s="319"/>
      <c r="K56" s="320"/>
      <c r="L56" s="371"/>
      <c r="M56" s="320"/>
      <c r="N56" s="371"/>
      <c r="O56" s="320"/>
      <c r="P56" s="371"/>
      <c r="Q56" s="3"/>
      <c r="R56" s="3"/>
    </row>
    <row r="57" spans="1:25" s="234" customFormat="1" x14ac:dyDescent="0.25">
      <c r="A57" s="373"/>
      <c r="B57" s="939" t="s">
        <v>25</v>
      </c>
      <c r="C57" s="940"/>
      <c r="D57" s="880"/>
      <c r="E57" s="825"/>
      <c r="F57" s="876"/>
      <c r="G57" s="876"/>
      <c r="H57" s="876"/>
      <c r="I57" s="876"/>
      <c r="J57" s="876"/>
      <c r="K57" s="876"/>
      <c r="L57" s="876"/>
      <c r="M57" s="876"/>
      <c r="N57" s="876"/>
      <c r="O57" s="876"/>
      <c r="P57" s="876"/>
      <c r="Q57" s="876"/>
      <c r="R57" s="876"/>
      <c r="S57" s="876"/>
      <c r="T57" s="896"/>
      <c r="U57" s="896"/>
      <c r="V57" s="876"/>
      <c r="W57" s="876"/>
      <c r="X57" s="876"/>
      <c r="Y57" s="876"/>
    </row>
    <row r="58" spans="1:25" s="234" customFormat="1" x14ac:dyDescent="0.25">
      <c r="A58" s="322">
        <f>A46</f>
        <v>2013</v>
      </c>
      <c r="B58" s="945">
        <f>AVERAGE(B53:Y53)</f>
        <v>83.27</v>
      </c>
      <c r="C58" s="946"/>
      <c r="D58" s="947" t="s">
        <v>187</v>
      </c>
      <c r="E58" s="948"/>
      <c r="F58" s="899"/>
      <c r="G58" s="899"/>
      <c r="H58" s="899"/>
      <c r="I58" s="899"/>
      <c r="J58" s="899"/>
      <c r="K58" s="899"/>
      <c r="L58" s="899"/>
      <c r="M58" s="899"/>
      <c r="N58" s="899"/>
      <c r="O58" s="899"/>
      <c r="P58" s="899"/>
      <c r="Q58" s="899"/>
      <c r="R58" s="899"/>
      <c r="S58" s="899"/>
      <c r="T58" s="899"/>
      <c r="U58" s="899"/>
      <c r="V58" s="899"/>
      <c r="W58" s="899"/>
      <c r="X58" s="899"/>
      <c r="Y58" s="899"/>
    </row>
    <row r="59" spans="1:25" ht="15" customHeight="1" x14ac:dyDescent="0.25">
      <c r="A59" s="322">
        <f>A47</f>
        <v>2023</v>
      </c>
      <c r="B59" s="945">
        <f>AVERAGE(B54:Y54)</f>
        <v>111.90791690798501</v>
      </c>
      <c r="C59" s="946"/>
      <c r="D59" s="947" t="s">
        <v>187</v>
      </c>
      <c r="E59" s="948"/>
      <c r="F59" s="899"/>
      <c r="G59" s="899"/>
      <c r="H59" s="899"/>
      <c r="I59" s="899"/>
      <c r="J59" s="899"/>
      <c r="K59" s="899"/>
      <c r="L59" s="899"/>
      <c r="M59" s="899"/>
      <c r="N59" s="899"/>
      <c r="O59" s="899"/>
      <c r="P59" s="899"/>
      <c r="Q59" s="899"/>
      <c r="R59" s="899"/>
      <c r="S59" s="899"/>
      <c r="T59" s="899"/>
      <c r="U59" s="899"/>
      <c r="V59" s="899"/>
      <c r="W59" s="899"/>
      <c r="X59" s="899"/>
      <c r="Y59" s="899"/>
    </row>
    <row r="60" spans="1:25" ht="15" customHeight="1" x14ac:dyDescent="0.25">
      <c r="A60" s="322">
        <f>A48</f>
        <v>2033</v>
      </c>
      <c r="B60" s="935">
        <f>AVERAGE(B55:Y55)</f>
        <v>150.39488251092203</v>
      </c>
      <c r="C60" s="936"/>
      <c r="D60" s="937" t="s">
        <v>187</v>
      </c>
      <c r="E60" s="938"/>
      <c r="F60" s="899"/>
      <c r="G60" s="899"/>
      <c r="H60" s="899"/>
      <c r="I60" s="899"/>
      <c r="J60" s="899"/>
      <c r="K60" s="899"/>
      <c r="L60" s="899"/>
      <c r="M60" s="899"/>
      <c r="N60" s="899"/>
      <c r="O60" s="899"/>
      <c r="P60" s="899"/>
      <c r="Q60" s="899"/>
      <c r="R60" s="899"/>
      <c r="S60" s="899"/>
      <c r="T60" s="899"/>
      <c r="U60" s="899"/>
      <c r="V60" s="899"/>
      <c r="W60" s="899"/>
      <c r="X60" s="899"/>
      <c r="Y60" s="899"/>
    </row>
  </sheetData>
  <mergeCells count="244">
    <mergeCell ref="J54:K54"/>
    <mergeCell ref="L54:M54"/>
    <mergeCell ref="N54:O54"/>
    <mergeCell ref="P54:Q54"/>
    <mergeCell ref="R54:S54"/>
    <mergeCell ref="T54:U54"/>
    <mergeCell ref="V54:W54"/>
    <mergeCell ref="X54:Y54"/>
    <mergeCell ref="B55:C55"/>
    <mergeCell ref="D55:E55"/>
    <mergeCell ref="F55:G55"/>
    <mergeCell ref="H55:I55"/>
    <mergeCell ref="J55:K55"/>
    <mergeCell ref="L55:M55"/>
    <mergeCell ref="N55:O55"/>
    <mergeCell ref="P55:Q55"/>
    <mergeCell ref="R55:S55"/>
    <mergeCell ref="T55:U55"/>
    <mergeCell ref="V55:W55"/>
    <mergeCell ref="X55:Y55"/>
    <mergeCell ref="R52:S52"/>
    <mergeCell ref="T52:U52"/>
    <mergeCell ref="V52:W52"/>
    <mergeCell ref="X52:Y52"/>
    <mergeCell ref="B53:C53"/>
    <mergeCell ref="D53:E53"/>
    <mergeCell ref="F53:G53"/>
    <mergeCell ref="H53:I53"/>
    <mergeCell ref="J53:K53"/>
    <mergeCell ref="L53:M53"/>
    <mergeCell ref="N53:O53"/>
    <mergeCell ref="P53:Q53"/>
    <mergeCell ref="R53:S53"/>
    <mergeCell ref="T53:U53"/>
    <mergeCell ref="V53:W53"/>
    <mergeCell ref="X53:Y53"/>
    <mergeCell ref="T59:U59"/>
    <mergeCell ref="V59:W59"/>
    <mergeCell ref="X59:Y59"/>
    <mergeCell ref="B60:C60"/>
    <mergeCell ref="D60:E60"/>
    <mergeCell ref="F60:G60"/>
    <mergeCell ref="H60:I60"/>
    <mergeCell ref="J60:K60"/>
    <mergeCell ref="L60:M60"/>
    <mergeCell ref="N60:O60"/>
    <mergeCell ref="P60:Q60"/>
    <mergeCell ref="R60:S60"/>
    <mergeCell ref="T60:U60"/>
    <mergeCell ref="V60:W60"/>
    <mergeCell ref="X60:Y60"/>
    <mergeCell ref="B59:C59"/>
    <mergeCell ref="D59:E59"/>
    <mergeCell ref="F59:G59"/>
    <mergeCell ref="H59:I59"/>
    <mergeCell ref="J59:K59"/>
    <mergeCell ref="L59:M59"/>
    <mergeCell ref="N59:O59"/>
    <mergeCell ref="P59:Q59"/>
    <mergeCell ref="R59:S59"/>
    <mergeCell ref="R57:S57"/>
    <mergeCell ref="T57:U57"/>
    <mergeCell ref="V57:W57"/>
    <mergeCell ref="X57:Y57"/>
    <mergeCell ref="B58:C58"/>
    <mergeCell ref="D58:E58"/>
    <mergeCell ref="F58:G58"/>
    <mergeCell ref="H58:I58"/>
    <mergeCell ref="J58:K58"/>
    <mergeCell ref="L58:M58"/>
    <mergeCell ref="N58:O58"/>
    <mergeCell ref="P58:Q58"/>
    <mergeCell ref="R58:S58"/>
    <mergeCell ref="T58:U58"/>
    <mergeCell ref="V58:W58"/>
    <mergeCell ref="X58:Y58"/>
    <mergeCell ref="J46:K46"/>
    <mergeCell ref="L46:M46"/>
    <mergeCell ref="N46:O46"/>
    <mergeCell ref="P46:Q46"/>
    <mergeCell ref="F45:G45"/>
    <mergeCell ref="B57:E57"/>
    <mergeCell ref="F57:G57"/>
    <mergeCell ref="H57:I57"/>
    <mergeCell ref="J57:K57"/>
    <mergeCell ref="L57:M57"/>
    <mergeCell ref="N57:O57"/>
    <mergeCell ref="P57:Q57"/>
    <mergeCell ref="B52:C52"/>
    <mergeCell ref="D52:E52"/>
    <mergeCell ref="F52:G52"/>
    <mergeCell ref="H52:I52"/>
    <mergeCell ref="J52:K52"/>
    <mergeCell ref="L52:M52"/>
    <mergeCell ref="N52:O52"/>
    <mergeCell ref="P52:Q52"/>
    <mergeCell ref="B54:C54"/>
    <mergeCell ref="D54:E54"/>
    <mergeCell ref="F54:G54"/>
    <mergeCell ref="H54:I54"/>
    <mergeCell ref="V45:W45"/>
    <mergeCell ref="R48:S48"/>
    <mergeCell ref="B47:C47"/>
    <mergeCell ref="D47:E47"/>
    <mergeCell ref="F47:G47"/>
    <mergeCell ref="H47:I47"/>
    <mergeCell ref="J47:K47"/>
    <mergeCell ref="L47:M47"/>
    <mergeCell ref="N47:O47"/>
    <mergeCell ref="P47:Q47"/>
    <mergeCell ref="R47:S47"/>
    <mergeCell ref="B45:E45"/>
    <mergeCell ref="B48:C48"/>
    <mergeCell ref="D48:E48"/>
    <mergeCell ref="F48:G48"/>
    <mergeCell ref="H48:I48"/>
    <mergeCell ref="J48:K48"/>
    <mergeCell ref="L48:M48"/>
    <mergeCell ref="N48:O48"/>
    <mergeCell ref="P48:Q48"/>
    <mergeCell ref="B46:C46"/>
    <mergeCell ref="D46:E46"/>
    <mergeCell ref="F46:G46"/>
    <mergeCell ref="H46:I46"/>
    <mergeCell ref="T31:U31"/>
    <mergeCell ref="V31:W31"/>
    <mergeCell ref="X31:Y31"/>
    <mergeCell ref="T32:U32"/>
    <mergeCell ref="V32:W32"/>
    <mergeCell ref="X32:Y32"/>
    <mergeCell ref="H22:K22"/>
    <mergeCell ref="J24:K24"/>
    <mergeCell ref="J25:K25"/>
    <mergeCell ref="K10:L10"/>
    <mergeCell ref="K11:L15"/>
    <mergeCell ref="M10:N10"/>
    <mergeCell ref="M11:N15"/>
    <mergeCell ref="O10:P10"/>
    <mergeCell ref="O11:P15"/>
    <mergeCell ref="O8:P8"/>
    <mergeCell ref="H20:K20"/>
    <mergeCell ref="H21:K21"/>
    <mergeCell ref="I10:J10"/>
    <mergeCell ref="I11:J15"/>
    <mergeCell ref="C10:E10"/>
    <mergeCell ref="C11:E11"/>
    <mergeCell ref="C12:E12"/>
    <mergeCell ref="C13:E13"/>
    <mergeCell ref="C14:E14"/>
    <mergeCell ref="C15:E15"/>
    <mergeCell ref="G10:H10"/>
    <mergeCell ref="G11:H11"/>
    <mergeCell ref="G12:H12"/>
    <mergeCell ref="G13:H13"/>
    <mergeCell ref="G14:H14"/>
    <mergeCell ref="G15:H15"/>
    <mergeCell ref="F31:G31"/>
    <mergeCell ref="H31:I31"/>
    <mergeCell ref="J31:K31"/>
    <mergeCell ref="L31:M31"/>
    <mergeCell ref="N32:O32"/>
    <mergeCell ref="P32:Q32"/>
    <mergeCell ref="R32:S32"/>
    <mergeCell ref="B32:C32"/>
    <mergeCell ref="D32:E32"/>
    <mergeCell ref="F32:G32"/>
    <mergeCell ref="H32:I32"/>
    <mergeCell ref="J32:K32"/>
    <mergeCell ref="L32:M32"/>
    <mergeCell ref="N31:O31"/>
    <mergeCell ref="P31:Q31"/>
    <mergeCell ref="R31:S31"/>
    <mergeCell ref="T46:U46"/>
    <mergeCell ref="V46:W46"/>
    <mergeCell ref="X46:Y46"/>
    <mergeCell ref="T47:U47"/>
    <mergeCell ref="V47:W47"/>
    <mergeCell ref="X47:Y47"/>
    <mergeCell ref="O37:P37"/>
    <mergeCell ref="B38:C38"/>
    <mergeCell ref="D38:E38"/>
    <mergeCell ref="F38:G38"/>
    <mergeCell ref="H38:I38"/>
    <mergeCell ref="J38:K38"/>
    <mergeCell ref="L38:M38"/>
    <mergeCell ref="N38:O38"/>
    <mergeCell ref="P38:Q38"/>
    <mergeCell ref="X45:Y45"/>
    <mergeCell ref="R46:S46"/>
    <mergeCell ref="H45:I45"/>
    <mergeCell ref="J45:K45"/>
    <mergeCell ref="L45:M45"/>
    <mergeCell ref="N45:O45"/>
    <mergeCell ref="P45:Q45"/>
    <mergeCell ref="R45:S45"/>
    <mergeCell ref="T45:U45"/>
    <mergeCell ref="T48:U48"/>
    <mergeCell ref="V48:W48"/>
    <mergeCell ref="X48:Y48"/>
    <mergeCell ref="H24:I24"/>
    <mergeCell ref="H25:I25"/>
    <mergeCell ref="L40:M40"/>
    <mergeCell ref="N39:O39"/>
    <mergeCell ref="P39:Q39"/>
    <mergeCell ref="R39:S39"/>
    <mergeCell ref="T39:U39"/>
    <mergeCell ref="V39:W39"/>
    <mergeCell ref="X39:Y39"/>
    <mergeCell ref="R41:S41"/>
    <mergeCell ref="T41:U41"/>
    <mergeCell ref="V41:W41"/>
    <mergeCell ref="X41:Y41"/>
    <mergeCell ref="R40:S40"/>
    <mergeCell ref="T40:U40"/>
    <mergeCell ref="V40:W40"/>
    <mergeCell ref="X40:Y40"/>
    <mergeCell ref="R38:S38"/>
    <mergeCell ref="T38:U38"/>
    <mergeCell ref="V38:W38"/>
    <mergeCell ref="X38:Y38"/>
    <mergeCell ref="B39:C39"/>
    <mergeCell ref="D39:E39"/>
    <mergeCell ref="F39:G39"/>
    <mergeCell ref="H39:I39"/>
    <mergeCell ref="J39:K39"/>
    <mergeCell ref="L39:M39"/>
    <mergeCell ref="G2:O4"/>
    <mergeCell ref="N41:O41"/>
    <mergeCell ref="P41:Q41"/>
    <mergeCell ref="B41:C41"/>
    <mergeCell ref="D41:E41"/>
    <mergeCell ref="F41:G41"/>
    <mergeCell ref="H41:I41"/>
    <mergeCell ref="J41:K41"/>
    <mergeCell ref="L41:M41"/>
    <mergeCell ref="N40:O40"/>
    <mergeCell ref="P40:Q40"/>
    <mergeCell ref="B40:C40"/>
    <mergeCell ref="D40:E40"/>
    <mergeCell ref="F40:G40"/>
    <mergeCell ref="H40:I40"/>
    <mergeCell ref="J40:K40"/>
    <mergeCell ref="B31:C31"/>
    <mergeCell ref="D31:E31"/>
  </mergeCells>
  <conditionalFormatting sqref="B33:Y33">
    <cfRule type="cellIs" dxfId="1" priority="5" operator="greaterThan">
      <formula>109</formula>
    </cfRule>
    <cfRule type="cellIs" dxfId="0" priority="6" operator="greaterThan">
      <formula>0</formula>
    </cfRule>
  </conditionalFormatting>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2:O28"/>
  <sheetViews>
    <sheetView showGridLines="0" zoomScale="82" zoomScaleNormal="82" workbookViewId="0">
      <selection activeCell="J12" sqref="J12"/>
    </sheetView>
  </sheetViews>
  <sheetFormatPr defaultRowHeight="15" x14ac:dyDescent="0.25"/>
  <cols>
    <col min="1" max="4" width="10.7109375" style="118" customWidth="1"/>
    <col min="5" max="5" width="10.7109375" style="124" customWidth="1"/>
    <col min="6" max="44" width="10.7109375" style="118" customWidth="1"/>
    <col min="45" max="16384" width="9.140625" style="118"/>
  </cols>
  <sheetData>
    <row r="2" spans="1:15" x14ac:dyDescent="0.25">
      <c r="E2" s="757" t="s">
        <v>283</v>
      </c>
      <c r="F2" s="758"/>
      <c r="G2" s="758"/>
      <c r="H2" s="758"/>
      <c r="I2" s="758"/>
      <c r="J2" s="758"/>
      <c r="K2" s="758"/>
      <c r="L2" s="758"/>
      <c r="M2" s="759"/>
    </row>
    <row r="3" spans="1:15" x14ac:dyDescent="0.25">
      <c r="E3" s="760"/>
      <c r="F3" s="761"/>
      <c r="G3" s="761"/>
      <c r="H3" s="761"/>
      <c r="I3" s="761"/>
      <c r="J3" s="761"/>
      <c r="K3" s="761"/>
      <c r="L3" s="761"/>
      <c r="M3" s="762"/>
    </row>
    <row r="4" spans="1:15" x14ac:dyDescent="0.25">
      <c r="E4" s="763"/>
      <c r="F4" s="764"/>
      <c r="G4" s="764"/>
      <c r="H4" s="764"/>
      <c r="I4" s="764"/>
      <c r="J4" s="764"/>
      <c r="K4" s="764"/>
      <c r="L4" s="764"/>
      <c r="M4" s="765"/>
    </row>
    <row r="5" spans="1:15" x14ac:dyDescent="0.25">
      <c r="E5" s="568"/>
      <c r="F5" s="568"/>
      <c r="G5" s="568"/>
      <c r="H5" s="568"/>
      <c r="I5" s="568"/>
      <c r="J5" s="568"/>
      <c r="K5" s="568"/>
      <c r="L5" s="568"/>
      <c r="M5" s="568"/>
      <c r="N5" s="203"/>
    </row>
    <row r="6" spans="1:15" x14ac:dyDescent="0.25">
      <c r="E6" s="568"/>
      <c r="F6" s="568"/>
      <c r="G6" s="568"/>
      <c r="H6" s="568"/>
      <c r="I6" s="568"/>
      <c r="J6" s="568"/>
      <c r="K6" s="568"/>
      <c r="L6" s="568"/>
      <c r="M6" s="568"/>
      <c r="N6" s="203"/>
    </row>
    <row r="7" spans="1:15" s="625" customFormat="1" x14ac:dyDescent="0.25">
      <c r="B7" s="626" t="s">
        <v>122</v>
      </c>
      <c r="D7" s="627" t="s">
        <v>286</v>
      </c>
      <c r="E7" s="628"/>
      <c r="F7" s="628"/>
      <c r="G7" s="628"/>
      <c r="H7" s="628"/>
      <c r="I7" s="628"/>
      <c r="J7" s="628"/>
      <c r="K7" s="628"/>
      <c r="L7" s="628"/>
      <c r="M7" s="628"/>
    </row>
    <row r="8" spans="1:15" x14ac:dyDescent="0.25">
      <c r="E8" s="568"/>
      <c r="F8" s="568"/>
      <c r="G8" s="568"/>
      <c r="H8" s="568"/>
      <c r="I8" s="568"/>
      <c r="J8" s="568"/>
      <c r="K8" s="568"/>
      <c r="L8" s="568"/>
      <c r="M8" s="568"/>
      <c r="N8" s="203"/>
    </row>
    <row r="9" spans="1:15" x14ac:dyDescent="0.25">
      <c r="B9" s="191" t="s">
        <v>70</v>
      </c>
      <c r="C9" s="172"/>
      <c r="D9" s="623" t="s">
        <v>284</v>
      </c>
      <c r="E9" s="642">
        <v>0</v>
      </c>
      <c r="F9" s="172" t="s">
        <v>285</v>
      </c>
      <c r="G9" s="568"/>
      <c r="H9" s="568"/>
      <c r="I9" s="568"/>
      <c r="J9" s="568"/>
      <c r="K9" s="568"/>
      <c r="L9" s="568"/>
      <c r="M9" s="568"/>
      <c r="N9" s="203"/>
    </row>
    <row r="10" spans="1:15" x14ac:dyDescent="0.25">
      <c r="B10" s="191"/>
      <c r="C10" s="172"/>
      <c r="D10" s="623"/>
      <c r="E10" s="624"/>
      <c r="F10" s="172"/>
      <c r="G10" s="568"/>
      <c r="H10" s="568"/>
      <c r="I10" s="568"/>
      <c r="J10" s="568"/>
      <c r="K10" s="568"/>
      <c r="L10" s="629"/>
      <c r="M10" s="630">
        <v>1</v>
      </c>
      <c r="N10" s="631" t="str">
        <f>SUMMARY!L76</f>
        <v>FEWSNET estimates</v>
      </c>
      <c r="O10" s="632"/>
    </row>
    <row r="11" spans="1:15" ht="15" customHeight="1" x14ac:dyDescent="0.25">
      <c r="B11" s="172" t="s">
        <v>288</v>
      </c>
      <c r="E11" s="624"/>
      <c r="F11" s="172"/>
      <c r="G11" s="568"/>
      <c r="H11" s="568"/>
      <c r="J11" s="643">
        <v>0</v>
      </c>
      <c r="K11" s="568"/>
      <c r="L11" s="633" t="s">
        <v>287</v>
      </c>
      <c r="M11" s="634">
        <v>2</v>
      </c>
      <c r="N11" s="635" t="str">
        <f>SUMMARY!L98</f>
        <v>CENSUS Data</v>
      </c>
      <c r="O11" s="636"/>
    </row>
    <row r="12" spans="1:15" x14ac:dyDescent="0.25">
      <c r="B12" s="191"/>
      <c r="C12" s="172"/>
      <c r="D12" s="623"/>
      <c r="E12" s="624"/>
      <c r="F12" s="172"/>
      <c r="G12" s="568"/>
      <c r="H12" s="568"/>
      <c r="I12" s="568"/>
      <c r="J12" s="568"/>
      <c r="K12" s="568"/>
      <c r="L12" s="637"/>
      <c r="M12" s="638">
        <v>3</v>
      </c>
      <c r="N12" s="639" t="str">
        <f>SUMMARY!L119</f>
        <v>Field data</v>
      </c>
      <c r="O12" s="640"/>
    </row>
    <row r="13" spans="1:15" x14ac:dyDescent="0.25">
      <c r="B13" s="191"/>
      <c r="C13" s="172"/>
      <c r="D13" s="623"/>
      <c r="E13" s="624"/>
      <c r="F13" s="172"/>
      <c r="G13" s="568"/>
      <c r="H13" s="568"/>
      <c r="I13" s="568"/>
      <c r="J13" s="568"/>
      <c r="K13" s="568"/>
      <c r="L13" s="641"/>
      <c r="M13" s="634"/>
      <c r="N13" s="151"/>
      <c r="O13" s="196"/>
    </row>
    <row r="14" spans="1:15" x14ac:dyDescent="0.25">
      <c r="B14" s="191"/>
      <c r="C14" s="172"/>
      <c r="D14" s="623"/>
      <c r="E14" s="624"/>
      <c r="F14" s="172"/>
      <c r="G14" s="568"/>
      <c r="H14" s="568"/>
      <c r="I14" s="568"/>
      <c r="J14" s="568"/>
      <c r="K14" s="568"/>
      <c r="L14" s="568"/>
      <c r="M14" s="568"/>
      <c r="N14" s="203"/>
    </row>
    <row r="15" spans="1:15" ht="15" customHeight="1" x14ac:dyDescent="0.25">
      <c r="E15" s="177"/>
      <c r="G15" s="949" t="s">
        <v>67</v>
      </c>
      <c r="H15" s="742"/>
      <c r="I15" s="742"/>
      <c r="J15" s="699"/>
      <c r="K15" s="949" t="s">
        <v>67</v>
      </c>
      <c r="L15" s="742"/>
      <c r="M15" s="742"/>
      <c r="N15" s="699"/>
    </row>
    <row r="16" spans="1:15" x14ac:dyDescent="0.25">
      <c r="A16" s="179"/>
      <c r="E16" s="176"/>
      <c r="G16" s="885" t="s">
        <v>24</v>
      </c>
      <c r="H16" s="950"/>
      <c r="I16" s="742"/>
      <c r="J16" s="699"/>
      <c r="K16" s="950" t="s">
        <v>278</v>
      </c>
      <c r="L16" s="950"/>
      <c r="M16" s="742"/>
      <c r="N16" s="699"/>
    </row>
    <row r="17" spans="1:14" x14ac:dyDescent="0.25">
      <c r="A17" s="179"/>
      <c r="E17" s="176"/>
      <c r="G17" s="951" t="s">
        <v>289</v>
      </c>
      <c r="H17" s="952"/>
      <c r="I17" s="953">
        <f>IF(J11=1,"FEWSNET estimates",IF(J11=2,"CENSUS Data",IF(J11=3,"Field Data",0)))</f>
        <v>0</v>
      </c>
      <c r="J17" s="954"/>
      <c r="K17" s="644"/>
      <c r="L17" s="644"/>
      <c r="M17" s="564"/>
      <c r="N17" s="565"/>
    </row>
    <row r="18" spans="1:14" x14ac:dyDescent="0.25">
      <c r="A18" s="179"/>
      <c r="E18" s="122" t="s">
        <v>0</v>
      </c>
    </row>
    <row r="19" spans="1:14" x14ac:dyDescent="0.25">
      <c r="A19" s="179"/>
      <c r="E19" s="184">
        <f>'1 - General Data'!J18</f>
        <v>2013</v>
      </c>
      <c r="F19" s="159"/>
      <c r="G19" s="770">
        <f>IF(J11=1,'3 - Demand Livestock'!I31,IF(J11=2,'3 - Demand Livestock'!I54,IF(J11=3,'3 - Demand Livestock'!I95,0)))</f>
        <v>0</v>
      </c>
      <c r="H19" s="771"/>
      <c r="I19" s="772" t="s">
        <v>28</v>
      </c>
      <c r="J19" s="773"/>
      <c r="K19" s="770">
        <f>G19*E9</f>
        <v>0</v>
      </c>
      <c r="L19" s="771"/>
      <c r="M19" s="772" t="s">
        <v>28</v>
      </c>
      <c r="N19" s="773"/>
    </row>
    <row r="20" spans="1:14" x14ac:dyDescent="0.25">
      <c r="A20" s="179"/>
      <c r="E20" s="162"/>
      <c r="F20" s="165"/>
      <c r="G20" s="774">
        <f>G19*0.001</f>
        <v>0</v>
      </c>
      <c r="H20" s="775"/>
      <c r="I20" s="776" t="s">
        <v>5</v>
      </c>
      <c r="J20" s="777"/>
      <c r="K20" s="774">
        <f>K19*0.001</f>
        <v>0</v>
      </c>
      <c r="L20" s="775"/>
      <c r="M20" s="776" t="s">
        <v>5</v>
      </c>
      <c r="N20" s="777"/>
    </row>
    <row r="21" spans="1:14" x14ac:dyDescent="0.25">
      <c r="A21" s="179"/>
      <c r="E21" s="184">
        <f>'1 - General Data'!J19</f>
        <v>2023</v>
      </c>
      <c r="F21" s="159"/>
      <c r="G21" s="770">
        <f>IF(J11=1,'3 - Demand Livestock'!I33,IF(J11=2,'3 - Demand Livestock'!I56,IF(J11=3,'3 - Demand Livestock'!I97,0)))</f>
        <v>0</v>
      </c>
      <c r="H21" s="771"/>
      <c r="I21" s="772" t="s">
        <v>28</v>
      </c>
      <c r="J21" s="773"/>
      <c r="K21" s="770">
        <f>G21*E9</f>
        <v>0</v>
      </c>
      <c r="L21" s="771"/>
      <c r="M21" s="772" t="s">
        <v>28</v>
      </c>
      <c r="N21" s="773"/>
    </row>
    <row r="22" spans="1:14" x14ac:dyDescent="0.25">
      <c r="A22" s="179"/>
      <c r="E22" s="162"/>
      <c r="F22" s="165"/>
      <c r="G22" s="774">
        <f>G21*0.001</f>
        <v>0</v>
      </c>
      <c r="H22" s="778"/>
      <c r="I22" s="776" t="s">
        <v>5</v>
      </c>
      <c r="J22" s="779"/>
      <c r="K22" s="774">
        <f>K21*0.001</f>
        <v>0</v>
      </c>
      <c r="L22" s="778"/>
      <c r="M22" s="776" t="s">
        <v>5</v>
      </c>
      <c r="N22" s="779"/>
    </row>
    <row r="23" spans="1:14" x14ac:dyDescent="0.25">
      <c r="A23" s="179"/>
      <c r="E23" s="184">
        <f>'1 - General Data'!J20</f>
        <v>2033</v>
      </c>
      <c r="F23" s="159"/>
      <c r="G23" s="770">
        <f>IF(J11=1,'3 - Demand Livestock'!I35,IF(J11=2,'3 - Demand Livestock'!I58,IF(J11=3,'3 - Demand Livestock'!I99,0)))</f>
        <v>0</v>
      </c>
      <c r="H23" s="780"/>
      <c r="I23" s="772" t="s">
        <v>28</v>
      </c>
      <c r="J23" s="773"/>
      <c r="K23" s="770">
        <f>G23*E9</f>
        <v>0</v>
      </c>
      <c r="L23" s="780"/>
      <c r="M23" s="772" t="s">
        <v>28</v>
      </c>
      <c r="N23" s="773"/>
    </row>
    <row r="24" spans="1:14" x14ac:dyDescent="0.25">
      <c r="E24" s="162"/>
      <c r="F24" s="168"/>
      <c r="G24" s="781">
        <f>G23*0.001</f>
        <v>0</v>
      </c>
      <c r="H24" s="782"/>
      <c r="I24" s="783" t="s">
        <v>5</v>
      </c>
      <c r="J24" s="784"/>
      <c r="K24" s="781">
        <f>K23*0.001</f>
        <v>0</v>
      </c>
      <c r="L24" s="782"/>
      <c r="M24" s="783" t="s">
        <v>5</v>
      </c>
      <c r="N24" s="784"/>
    </row>
    <row r="25" spans="1:14" x14ac:dyDescent="0.25">
      <c r="E25" s="125"/>
      <c r="F25" s="125"/>
      <c r="G25" s="645"/>
      <c r="H25" s="567"/>
      <c r="I25" s="566"/>
      <c r="J25" s="646"/>
      <c r="K25" s="645"/>
      <c r="L25" s="567"/>
      <c r="M25" s="566"/>
      <c r="N25" s="646"/>
    </row>
    <row r="27" spans="1:14" s="625" customFormat="1" x14ac:dyDescent="0.25">
      <c r="B27" s="626" t="s">
        <v>123</v>
      </c>
      <c r="D27" s="627"/>
      <c r="E27" s="628"/>
      <c r="F27" s="628"/>
      <c r="G27" s="628"/>
      <c r="H27" s="628"/>
      <c r="I27" s="628"/>
      <c r="J27" s="628"/>
      <c r="K27" s="628"/>
      <c r="L27" s="628"/>
      <c r="M27" s="628"/>
    </row>
    <row r="28" spans="1:14" x14ac:dyDescent="0.25">
      <c r="E28" s="568"/>
      <c r="F28" s="568"/>
      <c r="G28" s="568"/>
      <c r="H28" s="568"/>
      <c r="I28" s="568"/>
      <c r="J28" s="568"/>
      <c r="K28" s="568"/>
      <c r="L28" s="568"/>
      <c r="M28" s="568"/>
      <c r="N28" s="203"/>
    </row>
  </sheetData>
  <sheetProtection selectLockedCells="1"/>
  <mergeCells count="31">
    <mergeCell ref="E2:M4"/>
    <mergeCell ref="G15:J15"/>
    <mergeCell ref="G16:J16"/>
    <mergeCell ref="G19:H19"/>
    <mergeCell ref="I19:J19"/>
    <mergeCell ref="K15:N15"/>
    <mergeCell ref="K16:N16"/>
    <mergeCell ref="K19:L19"/>
    <mergeCell ref="M19:N19"/>
    <mergeCell ref="G17:H17"/>
    <mergeCell ref="I17:J17"/>
    <mergeCell ref="G24:H24"/>
    <mergeCell ref="I24:J24"/>
    <mergeCell ref="G22:H22"/>
    <mergeCell ref="I22:J22"/>
    <mergeCell ref="G23:H23"/>
    <mergeCell ref="I23:J23"/>
    <mergeCell ref="K20:L20"/>
    <mergeCell ref="M20:N20"/>
    <mergeCell ref="K21:L21"/>
    <mergeCell ref="M21:N21"/>
    <mergeCell ref="G21:H21"/>
    <mergeCell ref="I21:J21"/>
    <mergeCell ref="G20:H20"/>
    <mergeCell ref="I20:J20"/>
    <mergeCell ref="K22:L22"/>
    <mergeCell ref="M22:N22"/>
    <mergeCell ref="K23:L23"/>
    <mergeCell ref="M23:N23"/>
    <mergeCell ref="K24:L24"/>
    <mergeCell ref="M24:N2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00"/>
  <sheetViews>
    <sheetView showGridLines="0" topLeftCell="A343" zoomScale="80" zoomScaleNormal="80" workbookViewId="0">
      <selection activeCell="D352" sqref="D352:V362"/>
    </sheetView>
  </sheetViews>
  <sheetFormatPr defaultColWidth="0" defaultRowHeight="15" zeroHeight="1" x14ac:dyDescent="0.25"/>
  <cols>
    <col min="1" max="3" width="8.7109375" style="8" customWidth="1"/>
    <col min="4" max="7" width="10.7109375" style="8" customWidth="1"/>
    <col min="8" max="8" width="10.7109375" style="69" customWidth="1"/>
    <col min="9" max="26" width="10.7109375" style="8" customWidth="1"/>
    <col min="27" max="40" width="0" style="8" hidden="1" customWidth="1"/>
    <col min="41" max="16384" width="10.7109375" style="8" hidden="1"/>
  </cols>
  <sheetData>
    <row r="1" spans="1:22" x14ac:dyDescent="0.25"/>
    <row r="2" spans="1:22" x14ac:dyDescent="0.25">
      <c r="E2" s="960" t="s">
        <v>246</v>
      </c>
      <c r="F2" s="961"/>
      <c r="G2" s="961"/>
      <c r="H2" s="961"/>
      <c r="I2" s="961"/>
      <c r="J2" s="961"/>
      <c r="K2" s="961"/>
      <c r="L2" s="961"/>
      <c r="M2" s="961"/>
      <c r="N2" s="961"/>
      <c r="O2" s="961"/>
      <c r="P2" s="961"/>
      <c r="Q2" s="880"/>
      <c r="R2" s="880"/>
      <c r="S2" s="825"/>
    </row>
    <row r="3" spans="1:22" ht="31.5" customHeight="1" x14ac:dyDescent="0.25">
      <c r="E3" s="962"/>
      <c r="F3" s="963"/>
      <c r="G3" s="963"/>
      <c r="H3" s="963"/>
      <c r="I3" s="963"/>
      <c r="J3" s="963"/>
      <c r="K3" s="963"/>
      <c r="L3" s="963"/>
      <c r="M3" s="963"/>
      <c r="N3" s="963"/>
      <c r="O3" s="963"/>
      <c r="P3" s="963"/>
      <c r="Q3" s="881"/>
      <c r="R3" s="881"/>
      <c r="S3" s="828"/>
    </row>
    <row r="4" spans="1:22" x14ac:dyDescent="0.25"/>
    <row r="5" spans="1:22" ht="20.100000000000001" customHeight="1" x14ac:dyDescent="0.25">
      <c r="E5" s="964" t="s">
        <v>247</v>
      </c>
      <c r="F5" s="965"/>
      <c r="G5" s="965"/>
      <c r="H5" s="965"/>
      <c r="I5" s="965"/>
      <c r="J5" s="965"/>
      <c r="K5" s="965"/>
      <c r="L5" s="965"/>
      <c r="M5" s="965"/>
      <c r="N5" s="965"/>
      <c r="O5" s="965"/>
      <c r="P5" s="965"/>
      <c r="Q5" s="966"/>
      <c r="R5" s="966"/>
      <c r="S5" s="830"/>
    </row>
    <row r="6" spans="1:22" ht="20.100000000000001" customHeight="1" x14ac:dyDescent="0.25">
      <c r="E6" s="440"/>
      <c r="F6" s="440"/>
      <c r="G6" s="440"/>
      <c r="H6" s="440"/>
      <c r="I6" s="440"/>
      <c r="J6" s="440"/>
      <c r="K6" s="440"/>
      <c r="L6" s="440"/>
      <c r="M6" s="440"/>
      <c r="N6" s="440"/>
      <c r="O6" s="440"/>
      <c r="P6" s="440"/>
      <c r="Q6" s="40"/>
    </row>
    <row r="7" spans="1:22" s="40" customFormat="1" ht="20.100000000000001" customHeight="1" x14ac:dyDescent="0.25">
      <c r="A7" s="219"/>
      <c r="B7" s="957" t="s">
        <v>281</v>
      </c>
      <c r="C7" s="958"/>
      <c r="D7" s="958"/>
      <c r="E7" s="958"/>
      <c r="F7" s="958"/>
      <c r="G7" s="958"/>
      <c r="H7" s="958"/>
      <c r="I7" s="958"/>
      <c r="J7" s="958"/>
      <c r="K7" s="958"/>
      <c r="L7" s="958"/>
      <c r="M7" s="958"/>
      <c r="N7" s="958"/>
      <c r="O7" s="958"/>
      <c r="P7" s="958"/>
      <c r="Q7" s="958"/>
      <c r="R7" s="958"/>
      <c r="S7" s="958"/>
      <c r="T7" s="958"/>
      <c r="U7" s="958"/>
      <c r="V7" s="959"/>
    </row>
    <row r="8" spans="1:22" ht="20.100000000000001" customHeight="1" x14ac:dyDescent="0.25">
      <c r="E8" s="440"/>
      <c r="F8" s="440"/>
      <c r="G8" s="440"/>
      <c r="H8" s="440"/>
      <c r="I8" s="440"/>
      <c r="J8" s="440"/>
      <c r="K8" s="440"/>
      <c r="L8" s="440"/>
      <c r="M8" s="440"/>
      <c r="N8" s="440"/>
      <c r="O8" s="440"/>
      <c r="P8" s="440"/>
      <c r="Q8" s="40"/>
    </row>
    <row r="9" spans="1:22" ht="20.100000000000001" customHeight="1" x14ac:dyDescent="0.25">
      <c r="E9" s="9"/>
      <c r="F9" s="10"/>
      <c r="G9" s="10"/>
      <c r="H9" s="11"/>
      <c r="I9" s="10"/>
      <c r="J9" s="10"/>
      <c r="K9" s="10"/>
      <c r="L9" s="10"/>
      <c r="M9" s="12"/>
      <c r="N9" s="40"/>
      <c r="O9" s="40"/>
      <c r="P9" s="40"/>
      <c r="Q9" s="40"/>
      <c r="R9" s="40"/>
    </row>
    <row r="10" spans="1:22" ht="20.100000000000001" customHeight="1" x14ac:dyDescent="0.25">
      <c r="E10" s="13"/>
      <c r="F10" s="447" t="s">
        <v>70</v>
      </c>
      <c r="G10" s="36" t="s">
        <v>275</v>
      </c>
      <c r="H10" s="15"/>
      <c r="I10" s="41"/>
      <c r="J10" s="446"/>
      <c r="K10" s="14"/>
      <c r="L10" s="14"/>
      <c r="M10" s="450">
        <f>'1 - General Data'!N22</f>
        <v>2009</v>
      </c>
      <c r="N10" s="451"/>
      <c r="O10" s="451"/>
      <c r="P10" s="451"/>
      <c r="Q10" s="40"/>
      <c r="R10" s="40"/>
    </row>
    <row r="11" spans="1:22" ht="20.100000000000001" customHeight="1" x14ac:dyDescent="0.25">
      <c r="E11" s="13"/>
      <c r="F11" s="14"/>
      <c r="G11" s="14"/>
      <c r="H11" s="41"/>
      <c r="I11" s="41"/>
      <c r="J11" s="446"/>
      <c r="K11" s="14"/>
      <c r="L11" s="15"/>
      <c r="M11" s="18"/>
      <c r="N11" s="40"/>
      <c r="O11" s="40"/>
      <c r="P11" s="40"/>
      <c r="Q11" s="40"/>
      <c r="R11" s="40"/>
    </row>
    <row r="12" spans="1:22" ht="20.100000000000001" customHeight="1" x14ac:dyDescent="0.25">
      <c r="E12" s="13"/>
      <c r="F12" s="447" t="s">
        <v>71</v>
      </c>
      <c r="G12" s="36" t="s">
        <v>230</v>
      </c>
      <c r="H12" s="15"/>
      <c r="I12" s="41"/>
      <c r="J12" s="446"/>
      <c r="K12" s="448">
        <f>'1 - General Data'!H18</f>
        <v>8</v>
      </c>
      <c r="L12" s="14"/>
      <c r="M12" s="575"/>
      <c r="N12" s="451"/>
      <c r="O12" s="451"/>
      <c r="P12" s="451"/>
      <c r="Q12" s="40"/>
      <c r="R12" s="40"/>
    </row>
    <row r="13" spans="1:22" ht="20.100000000000001" customHeight="1" x14ac:dyDescent="0.25">
      <c r="E13" s="13"/>
      <c r="F13" s="14"/>
      <c r="G13" s="14"/>
      <c r="H13" s="14"/>
      <c r="I13" s="14"/>
      <c r="J13" s="14"/>
      <c r="K13" s="14"/>
      <c r="L13" s="15"/>
      <c r="M13" s="18"/>
      <c r="N13" s="40"/>
      <c r="O13" s="40"/>
      <c r="P13" s="40"/>
      <c r="Q13" s="40"/>
      <c r="R13" s="40"/>
    </row>
    <row r="14" spans="1:22" ht="20.100000000000001" customHeight="1" x14ac:dyDescent="0.25">
      <c r="E14" s="13"/>
      <c r="F14" s="447" t="s">
        <v>214</v>
      </c>
      <c r="G14" s="36" t="s">
        <v>231</v>
      </c>
      <c r="H14" s="15"/>
      <c r="I14" s="41"/>
      <c r="J14" s="446"/>
      <c r="K14" s="449">
        <f>('1 - General Data'!P16)/100</f>
        <v>0.03</v>
      </c>
      <c r="L14" s="14"/>
      <c r="M14" s="575"/>
      <c r="N14" s="451"/>
      <c r="O14" s="451"/>
      <c r="P14" s="451"/>
      <c r="Q14" s="40"/>
      <c r="R14" s="40"/>
    </row>
    <row r="15" spans="1:22" ht="20.100000000000001" customHeight="1" x14ac:dyDescent="0.25">
      <c r="E15" s="26"/>
      <c r="F15" s="32"/>
      <c r="G15" s="32"/>
      <c r="H15" s="32"/>
      <c r="I15" s="32"/>
      <c r="J15" s="32"/>
      <c r="K15" s="32"/>
      <c r="L15" s="35"/>
      <c r="M15" s="37"/>
      <c r="N15" s="40"/>
      <c r="O15" s="40"/>
      <c r="P15" s="40"/>
      <c r="Q15" s="40"/>
      <c r="R15" s="40"/>
    </row>
    <row r="16" spans="1:22" x14ac:dyDescent="0.25"/>
    <row r="17" spans="5:17" ht="15" customHeight="1" x14ac:dyDescent="0.25">
      <c r="E17" s="9"/>
      <c r="F17" s="10"/>
      <c r="G17" s="10"/>
      <c r="H17" s="11"/>
      <c r="I17" s="10"/>
      <c r="J17" s="10"/>
      <c r="K17" s="10"/>
      <c r="L17" s="10"/>
      <c r="M17" s="10"/>
      <c r="N17" s="10"/>
      <c r="O17" s="10"/>
      <c r="P17" s="12"/>
    </row>
    <row r="18" spans="5:17" ht="15" customHeight="1" x14ac:dyDescent="0.25">
      <c r="E18" s="13"/>
      <c r="F18" s="14"/>
      <c r="G18" s="14"/>
      <c r="H18" s="15"/>
      <c r="I18" s="14"/>
      <c r="J18" s="969" t="s">
        <v>66</v>
      </c>
      <c r="K18" s="1064"/>
      <c r="L18" s="1064"/>
      <c r="M18" s="1064"/>
      <c r="N18" s="1064"/>
      <c r="O18" s="1065"/>
      <c r="P18" s="16"/>
      <c r="Q18" s="17"/>
    </row>
    <row r="19" spans="5:17" ht="15" customHeight="1" x14ac:dyDescent="0.25">
      <c r="E19" s="13"/>
      <c r="F19" s="14"/>
      <c r="G19" s="14"/>
      <c r="H19" s="15"/>
      <c r="I19" s="14"/>
      <c r="J19" s="1051" t="s">
        <v>3</v>
      </c>
      <c r="K19" s="1080"/>
      <c r="L19" s="1051" t="s">
        <v>4</v>
      </c>
      <c r="M19" s="1080"/>
      <c r="N19" s="1100" t="s">
        <v>11</v>
      </c>
      <c r="O19" s="1100"/>
      <c r="P19" s="18"/>
    </row>
    <row r="20" spans="5:17" x14ac:dyDescent="0.25">
      <c r="E20" s="13"/>
      <c r="F20" s="14"/>
      <c r="G20" s="14"/>
      <c r="H20" s="15"/>
      <c r="I20" s="14"/>
      <c r="J20" s="1105">
        <f>'1 - General Data'!I31</f>
        <v>50</v>
      </c>
      <c r="K20" s="1104"/>
      <c r="L20" s="1105">
        <f>'1 - General Data'!K31</f>
        <v>100</v>
      </c>
      <c r="M20" s="1104"/>
      <c r="N20" s="1105">
        <f>'1 - General Data'!M31</f>
        <v>200</v>
      </c>
      <c r="O20" s="1104"/>
      <c r="P20" s="18"/>
    </row>
    <row r="21" spans="5:17" x14ac:dyDescent="0.25">
      <c r="E21" s="13"/>
      <c r="F21" s="19" t="s">
        <v>0</v>
      </c>
      <c r="G21" s="19" t="s">
        <v>1</v>
      </c>
      <c r="H21" s="20" t="s">
        <v>6</v>
      </c>
      <c r="I21" s="14"/>
      <c r="J21" s="14"/>
      <c r="K21" s="14"/>
      <c r="L21" s="14"/>
      <c r="M21" s="14"/>
      <c r="N21" s="14"/>
      <c r="O21" s="14"/>
      <c r="P21" s="18"/>
    </row>
    <row r="22" spans="5:17" x14ac:dyDescent="0.25">
      <c r="E22" s="13"/>
      <c r="F22" s="9">
        <f>'1 - General Data'!E35</f>
        <v>2013</v>
      </c>
      <c r="G22" s="21">
        <f>'1 - General Data'!F35</f>
        <v>29507.464471769999</v>
      </c>
      <c r="H22" s="22">
        <f>'1 - General Data'!G35</f>
        <v>3688.4330589712499</v>
      </c>
      <c r="I22" s="23"/>
      <c r="J22" s="24">
        <f>'1 - General Data'!I35</f>
        <v>1475373.2235884999</v>
      </c>
      <c r="K22" s="25" t="s">
        <v>28</v>
      </c>
      <c r="L22" s="49">
        <f>'1 - General Data'!K35</f>
        <v>2950746.4471769999</v>
      </c>
      <c r="M22" s="25" t="s">
        <v>28</v>
      </c>
      <c r="N22" s="49">
        <f>'1 - General Data'!M35</f>
        <v>5901492.8943539998</v>
      </c>
      <c r="O22" s="25" t="s">
        <v>28</v>
      </c>
      <c r="P22" s="18"/>
    </row>
    <row r="23" spans="5:17" x14ac:dyDescent="0.25">
      <c r="E23" s="13"/>
      <c r="F23" s="26"/>
      <c r="G23" s="27"/>
      <c r="H23" s="28"/>
      <c r="I23" s="29"/>
      <c r="J23" s="30">
        <f>'1 - General Data'!I36</f>
        <v>1475.3732235885</v>
      </c>
      <c r="K23" s="31" t="s">
        <v>5</v>
      </c>
      <c r="L23" s="59">
        <f>'1 - General Data'!K36</f>
        <v>2950.7464471769999</v>
      </c>
      <c r="M23" s="31" t="s">
        <v>5</v>
      </c>
      <c r="N23" s="59">
        <f>'1 - General Data'!M36</f>
        <v>5901.4928943539999</v>
      </c>
      <c r="O23" s="31" t="s">
        <v>5</v>
      </c>
      <c r="P23" s="18"/>
    </row>
    <row r="24" spans="5:17" x14ac:dyDescent="0.25">
      <c r="E24" s="13"/>
      <c r="F24" s="9">
        <f>'1 - General Data'!E37</f>
        <v>2023</v>
      </c>
      <c r="G24" s="21">
        <f>'1 - General Data'!F37</f>
        <v>39655.564816526443</v>
      </c>
      <c r="H24" s="22">
        <f>'1 - General Data'!G37</f>
        <v>4956.9456020658054</v>
      </c>
      <c r="I24" s="23"/>
      <c r="J24" s="24">
        <f>'1 - General Data'!I37</f>
        <v>1982778.2408263222</v>
      </c>
      <c r="K24" s="25" t="s">
        <v>28</v>
      </c>
      <c r="L24" s="49">
        <f>'1 - General Data'!K37</f>
        <v>3965556.4816526445</v>
      </c>
      <c r="M24" s="25" t="s">
        <v>28</v>
      </c>
      <c r="N24" s="49">
        <f>'1 - General Data'!M37</f>
        <v>7931112.9633052889</v>
      </c>
      <c r="O24" s="25" t="s">
        <v>28</v>
      </c>
      <c r="P24" s="18"/>
    </row>
    <row r="25" spans="5:17" x14ac:dyDescent="0.25">
      <c r="E25" s="13"/>
      <c r="F25" s="26"/>
      <c r="G25" s="32"/>
      <c r="H25" s="33"/>
      <c r="I25" s="29"/>
      <c r="J25" s="34">
        <f>'1 - General Data'!I38</f>
        <v>1982.7782408263222</v>
      </c>
      <c r="K25" s="31" t="s">
        <v>5</v>
      </c>
      <c r="L25" s="59">
        <f>'1 - General Data'!K38</f>
        <v>3965.5564816526444</v>
      </c>
      <c r="M25" s="31" t="s">
        <v>5</v>
      </c>
      <c r="N25" s="59">
        <f>'1 - General Data'!M38</f>
        <v>7931.1129633052888</v>
      </c>
      <c r="O25" s="31" t="s">
        <v>5</v>
      </c>
      <c r="P25" s="18"/>
    </row>
    <row r="26" spans="5:17" x14ac:dyDescent="0.25">
      <c r="E26" s="13"/>
      <c r="F26" s="9">
        <f>'1 - General Data'!E39</f>
        <v>2033</v>
      </c>
      <c r="G26" s="21">
        <f>'1 - General Data'!F39</f>
        <v>53293.763089072352</v>
      </c>
      <c r="H26" s="22">
        <f>'1 - General Data'!G39</f>
        <v>6661.720386134044</v>
      </c>
      <c r="I26" s="23"/>
      <c r="J26" s="24">
        <f>'1 - General Data'!I39</f>
        <v>2664688.1544536175</v>
      </c>
      <c r="K26" s="25" t="s">
        <v>28</v>
      </c>
      <c r="L26" s="49">
        <f>'1 - General Data'!K39</f>
        <v>5329376.308907235</v>
      </c>
      <c r="M26" s="25" t="s">
        <v>28</v>
      </c>
      <c r="N26" s="49">
        <f>'1 - General Data'!M39</f>
        <v>10658752.61781447</v>
      </c>
      <c r="O26" s="25" t="s">
        <v>28</v>
      </c>
      <c r="P26" s="18"/>
    </row>
    <row r="27" spans="5:17" x14ac:dyDescent="0.25">
      <c r="E27" s="13"/>
      <c r="F27" s="26"/>
      <c r="G27" s="32"/>
      <c r="H27" s="35"/>
      <c r="I27" s="32"/>
      <c r="J27" s="34">
        <f>'1 - General Data'!I40</f>
        <v>2664.6881544536177</v>
      </c>
      <c r="K27" s="31" t="s">
        <v>5</v>
      </c>
      <c r="L27" s="59">
        <f>'1 - General Data'!K40</f>
        <v>5329.3763089072354</v>
      </c>
      <c r="M27" s="31" t="s">
        <v>5</v>
      </c>
      <c r="N27" s="59">
        <f>'1 - General Data'!M40</f>
        <v>10658.752617814471</v>
      </c>
      <c r="O27" s="31" t="s">
        <v>5</v>
      </c>
      <c r="P27" s="18"/>
    </row>
    <row r="28" spans="5:17" x14ac:dyDescent="0.25">
      <c r="E28" s="13"/>
      <c r="F28" s="14"/>
      <c r="G28" s="14"/>
      <c r="H28" s="15"/>
      <c r="I28" s="14"/>
      <c r="J28" s="14"/>
      <c r="K28" s="14"/>
      <c r="L28" s="14"/>
      <c r="M28" s="14"/>
      <c r="N28" s="14"/>
      <c r="O28" s="14"/>
      <c r="P28" s="18"/>
    </row>
    <row r="29" spans="5:17" x14ac:dyDescent="0.25">
      <c r="E29" s="13"/>
      <c r="F29" s="1011" t="s">
        <v>7</v>
      </c>
      <c r="G29" s="1012"/>
      <c r="H29" s="36" t="s">
        <v>8</v>
      </c>
      <c r="I29" s="14"/>
      <c r="J29" s="14"/>
      <c r="K29" s="14"/>
      <c r="L29" s="15"/>
      <c r="M29" s="14"/>
      <c r="N29" s="14"/>
      <c r="O29" s="14"/>
      <c r="P29" s="18"/>
    </row>
    <row r="30" spans="5:17" ht="15" customHeight="1" x14ac:dyDescent="0.25">
      <c r="E30" s="13"/>
      <c r="F30" s="1011" t="s">
        <v>9</v>
      </c>
      <c r="G30" s="1012"/>
      <c r="H30" s="36" t="s">
        <v>10</v>
      </c>
      <c r="I30" s="14"/>
      <c r="J30" s="14"/>
      <c r="K30" s="14"/>
      <c r="L30" s="15"/>
      <c r="M30" s="14"/>
      <c r="N30" s="14"/>
      <c r="O30" s="14"/>
      <c r="P30" s="18"/>
    </row>
    <row r="31" spans="5:17" ht="15" customHeight="1" x14ac:dyDescent="0.25">
      <c r="E31" s="13"/>
      <c r="F31" s="1011" t="s">
        <v>12</v>
      </c>
      <c r="G31" s="1012"/>
      <c r="H31" s="36" t="s">
        <v>13</v>
      </c>
      <c r="I31" s="14"/>
      <c r="J31" s="14"/>
      <c r="K31" s="14"/>
      <c r="L31" s="15"/>
      <c r="M31" s="14"/>
      <c r="N31" s="14"/>
      <c r="O31" s="14"/>
      <c r="P31" s="18"/>
    </row>
    <row r="32" spans="5:17" x14ac:dyDescent="0.25">
      <c r="E32" s="26"/>
      <c r="F32" s="32"/>
      <c r="G32" s="32"/>
      <c r="H32" s="35"/>
      <c r="I32" s="32"/>
      <c r="J32" s="32"/>
      <c r="K32" s="32"/>
      <c r="L32" s="32"/>
      <c r="M32" s="32"/>
      <c r="N32" s="32"/>
      <c r="O32" s="32"/>
      <c r="P32" s="37"/>
    </row>
    <row r="33" spans="1:22" x14ac:dyDescent="0.25">
      <c r="E33" s="617"/>
      <c r="F33" s="617"/>
      <c r="G33" s="617"/>
      <c r="H33" s="618"/>
      <c r="I33" s="617"/>
      <c r="J33" s="617"/>
      <c r="K33" s="617"/>
      <c r="L33" s="617"/>
      <c r="M33" s="617"/>
      <c r="N33" s="617"/>
      <c r="O33" s="617"/>
      <c r="P33" s="617"/>
    </row>
    <row r="34" spans="1:22" s="40" customFormat="1" ht="20.100000000000001" customHeight="1" x14ac:dyDescent="0.25">
      <c r="A34" s="219"/>
      <c r="B34" s="957" t="s">
        <v>280</v>
      </c>
      <c r="C34" s="958"/>
      <c r="D34" s="958"/>
      <c r="E34" s="958"/>
      <c r="F34" s="958"/>
      <c r="G34" s="958"/>
      <c r="H34" s="958"/>
      <c r="I34" s="958"/>
      <c r="J34" s="958"/>
      <c r="K34" s="958"/>
      <c r="L34" s="958"/>
      <c r="M34" s="958"/>
      <c r="N34" s="958"/>
      <c r="O34" s="958"/>
      <c r="P34" s="958"/>
      <c r="Q34" s="958"/>
      <c r="R34" s="958"/>
      <c r="S34" s="958"/>
      <c r="T34" s="958"/>
      <c r="U34" s="958"/>
      <c r="V34" s="959"/>
    </row>
    <row r="35" spans="1:22" s="40" customFormat="1" ht="20.100000000000001" customHeight="1" x14ac:dyDescent="0.25">
      <c r="A35" s="219"/>
      <c r="B35" s="75"/>
      <c r="C35" s="619"/>
      <c r="D35" s="619"/>
      <c r="E35" s="619"/>
      <c r="F35" s="620"/>
      <c r="G35" s="620"/>
      <c r="H35" s="620"/>
      <c r="I35" s="620"/>
      <c r="J35" s="620"/>
      <c r="K35" s="620"/>
      <c r="L35" s="620"/>
      <c r="M35" s="620"/>
      <c r="N35" s="620"/>
      <c r="O35" s="619"/>
      <c r="P35" s="619"/>
      <c r="Q35" s="619"/>
      <c r="R35" s="619"/>
      <c r="S35" s="619"/>
      <c r="T35" s="619"/>
      <c r="U35" s="619"/>
      <c r="V35" s="619"/>
    </row>
    <row r="36" spans="1:22" x14ac:dyDescent="0.25">
      <c r="A36" s="38"/>
      <c r="F36" s="9"/>
      <c r="G36" s="10"/>
      <c r="H36" s="11"/>
      <c r="I36" s="10"/>
      <c r="J36" s="10"/>
      <c r="K36" s="10"/>
      <c r="L36" s="10"/>
      <c r="M36" s="10"/>
      <c r="N36" s="10"/>
      <c r="O36" s="39"/>
      <c r="P36" s="40"/>
      <c r="Q36" s="40"/>
    </row>
    <row r="37" spans="1:22" ht="15" customHeight="1" x14ac:dyDescent="0.25">
      <c r="A37" s="361"/>
      <c r="B37" s="361" t="s">
        <v>88</v>
      </c>
      <c r="C37" s="361"/>
      <c r="F37" s="13"/>
      <c r="G37" s="14"/>
      <c r="H37" s="41"/>
      <c r="I37" s="14"/>
      <c r="J37" s="969" t="s">
        <v>67</v>
      </c>
      <c r="K37" s="1064"/>
      <c r="L37" s="1064"/>
      <c r="M37" s="1065"/>
      <c r="N37" s="429"/>
      <c r="O37" s="430"/>
      <c r="P37" s="17"/>
      <c r="Q37" s="17"/>
    </row>
    <row r="38" spans="1:22" x14ac:dyDescent="0.25">
      <c r="A38" s="42"/>
      <c r="B38" s="42"/>
      <c r="C38" s="42"/>
      <c r="F38" s="13"/>
      <c r="G38" s="14"/>
      <c r="H38" s="15"/>
      <c r="I38" s="14"/>
      <c r="J38" s="1051" t="s">
        <v>2</v>
      </c>
      <c r="K38" s="1079"/>
      <c r="L38" s="1079"/>
      <c r="M38" s="1080"/>
      <c r="N38" s="14"/>
      <c r="O38" s="39"/>
      <c r="P38" s="955"/>
      <c r="Q38" s="955"/>
    </row>
    <row r="39" spans="1:22" hidden="1" x14ac:dyDescent="0.25">
      <c r="A39" s="42"/>
      <c r="B39" s="43"/>
      <c r="C39" s="43"/>
      <c r="F39" s="13"/>
      <c r="G39" s="14"/>
      <c r="H39" s="15"/>
      <c r="I39" s="14"/>
      <c r="J39" s="1101" t="s">
        <v>34</v>
      </c>
      <c r="K39" s="1102"/>
      <c r="L39" s="1103"/>
      <c r="M39" s="1104"/>
      <c r="N39" s="431"/>
      <c r="O39" s="431"/>
      <c r="P39" s="1090"/>
      <c r="Q39" s="1090"/>
    </row>
    <row r="40" spans="1:22" x14ac:dyDescent="0.25">
      <c r="A40" s="42"/>
      <c r="B40" s="43"/>
      <c r="C40" s="43"/>
      <c r="F40" s="13"/>
      <c r="G40" s="14"/>
      <c r="H40" s="15"/>
      <c r="I40" s="14"/>
      <c r="J40" s="1105">
        <f>'2 - Demand Domestic'!I10</f>
        <v>20</v>
      </c>
      <c r="K40" s="1106"/>
      <c r="L40" s="1103"/>
      <c r="M40" s="1104"/>
      <c r="N40" s="44"/>
      <c r="O40" s="45"/>
      <c r="P40" s="1091"/>
      <c r="Q40" s="1092"/>
    </row>
    <row r="41" spans="1:22" x14ac:dyDescent="0.25">
      <c r="A41" s="42"/>
      <c r="B41" s="46"/>
      <c r="C41" s="46"/>
      <c r="F41" s="13"/>
      <c r="G41" s="19" t="s">
        <v>0</v>
      </c>
      <c r="H41" s="19" t="s">
        <v>1</v>
      </c>
      <c r="I41" s="14"/>
      <c r="J41" s="14"/>
      <c r="K41" s="14"/>
      <c r="L41" s="14"/>
      <c r="M41" s="14"/>
      <c r="N41" s="47"/>
      <c r="O41" s="39"/>
      <c r="P41" s="40"/>
      <c r="Q41" s="40"/>
    </row>
    <row r="42" spans="1:22" x14ac:dyDescent="0.25">
      <c r="A42" s="42"/>
      <c r="B42" s="48"/>
      <c r="C42" s="48"/>
      <c r="F42" s="13"/>
      <c r="G42" s="9">
        <f>'2 - Demand Domestic'!F12</f>
        <v>2013</v>
      </c>
      <c r="H42" s="21">
        <f>'2 - Demand Domestic'!G12</f>
        <v>29507.464471769999</v>
      </c>
      <c r="I42" s="23"/>
      <c r="J42" s="975">
        <f>'2 - Demand Domestic'!I12</f>
        <v>590149.28943539993</v>
      </c>
      <c r="K42" s="1081"/>
      <c r="L42" s="971" t="s">
        <v>28</v>
      </c>
      <c r="M42" s="1082"/>
      <c r="N42" s="14"/>
      <c r="O42" s="432"/>
      <c r="P42" s="50"/>
      <c r="Q42" s="50"/>
    </row>
    <row r="43" spans="1:22" x14ac:dyDescent="0.25">
      <c r="A43" s="42"/>
      <c r="B43" s="51"/>
      <c r="C43" s="51"/>
      <c r="F43" s="13"/>
      <c r="G43" s="26"/>
      <c r="H43" s="27"/>
      <c r="I43" s="29"/>
      <c r="J43" s="1083">
        <f>'2 - Demand Domestic'!I13</f>
        <v>590.14928943539996</v>
      </c>
      <c r="K43" s="1084"/>
      <c r="L43" s="1085" t="s">
        <v>5</v>
      </c>
      <c r="M43" s="1086"/>
      <c r="N43" s="56"/>
      <c r="O43" s="433"/>
      <c r="P43" s="54"/>
      <c r="Q43" s="54"/>
    </row>
    <row r="44" spans="1:22" x14ac:dyDescent="0.25">
      <c r="A44" s="42"/>
      <c r="B44" s="51"/>
      <c r="C44" s="51"/>
      <c r="F44" s="13"/>
      <c r="G44" s="9">
        <f>'2 - Demand Domestic'!F14</f>
        <v>2023</v>
      </c>
      <c r="H44" s="21">
        <f>'2 - Demand Domestic'!G14</f>
        <v>39655.564816526443</v>
      </c>
      <c r="I44" s="23"/>
      <c r="J44" s="975">
        <f>'2 - Demand Domestic'!I14</f>
        <v>793111.2963305288</v>
      </c>
      <c r="K44" s="1081"/>
      <c r="L44" s="971" t="s">
        <v>28</v>
      </c>
      <c r="M44" s="1082"/>
      <c r="N44" s="434"/>
      <c r="O44" s="432"/>
      <c r="P44" s="50"/>
      <c r="Q44" s="50"/>
    </row>
    <row r="45" spans="1:22" x14ac:dyDescent="0.25">
      <c r="A45" s="42"/>
      <c r="B45" s="42"/>
      <c r="C45" s="42"/>
      <c r="F45" s="13"/>
      <c r="G45" s="26"/>
      <c r="H45" s="32"/>
      <c r="I45" s="29"/>
      <c r="J45" s="1083">
        <f>'2 - Demand Domestic'!I15</f>
        <v>793.11129633052883</v>
      </c>
      <c r="K45" s="1097"/>
      <c r="L45" s="1085" t="s">
        <v>5</v>
      </c>
      <c r="M45" s="1098"/>
      <c r="N45" s="56"/>
      <c r="O45" s="433"/>
      <c r="P45" s="57"/>
      <c r="Q45" s="54"/>
    </row>
    <row r="46" spans="1:22" x14ac:dyDescent="0.25">
      <c r="A46" s="42"/>
      <c r="B46" s="51"/>
      <c r="C46" s="51"/>
      <c r="F46" s="13"/>
      <c r="G46" s="9">
        <f>'2 - Demand Domestic'!F16</f>
        <v>2033</v>
      </c>
      <c r="H46" s="21">
        <f>'2 - Demand Domestic'!G16</f>
        <v>53293.763089072352</v>
      </c>
      <c r="I46" s="23"/>
      <c r="J46" s="975">
        <f>'2 - Demand Domestic'!I16</f>
        <v>1065875.2617814471</v>
      </c>
      <c r="K46" s="1081"/>
      <c r="L46" s="971" t="s">
        <v>28</v>
      </c>
      <c r="M46" s="1082"/>
      <c r="N46" s="434"/>
      <c r="O46" s="432"/>
      <c r="P46" s="50"/>
      <c r="Q46" s="50"/>
    </row>
    <row r="47" spans="1:22" x14ac:dyDescent="0.25">
      <c r="F47" s="13"/>
      <c r="G47" s="26"/>
      <c r="H47" s="32"/>
      <c r="I47" s="32"/>
      <c r="J47" s="977">
        <f>'2 - Demand Domestic'!I17</f>
        <v>1065.8752617814471</v>
      </c>
      <c r="K47" s="1099"/>
      <c r="L47" s="973" t="s">
        <v>5</v>
      </c>
      <c r="M47" s="1107"/>
      <c r="N47" s="56"/>
      <c r="O47" s="433"/>
      <c r="P47" s="57"/>
      <c r="Q47" s="54"/>
    </row>
    <row r="48" spans="1:22" x14ac:dyDescent="0.25">
      <c r="F48" s="26"/>
      <c r="G48" s="32"/>
      <c r="H48" s="35"/>
      <c r="I48" s="32"/>
      <c r="J48" s="32"/>
      <c r="K48" s="32"/>
      <c r="L48" s="32"/>
      <c r="M48" s="32"/>
      <c r="N48" s="32"/>
      <c r="O48" s="39"/>
      <c r="P48" s="40"/>
      <c r="Q48" s="40"/>
    </row>
    <row r="49" spans="1:19" x14ac:dyDescent="0.25"/>
    <row r="50" spans="1:19" x14ac:dyDescent="0.25"/>
    <row r="51" spans="1:19" x14ac:dyDescent="0.25">
      <c r="A51" s="374"/>
      <c r="B51" s="375" t="s">
        <v>91</v>
      </c>
      <c r="C51" s="375"/>
      <c r="E51" s="9"/>
      <c r="F51" s="10"/>
      <c r="G51" s="10"/>
      <c r="H51" s="11"/>
      <c r="I51" s="10"/>
      <c r="J51" s="10"/>
      <c r="K51" s="10"/>
      <c r="L51" s="10"/>
      <c r="M51" s="10"/>
      <c r="N51" s="10"/>
      <c r="O51" s="10"/>
      <c r="P51" s="10"/>
      <c r="Q51" s="12"/>
    </row>
    <row r="52" spans="1:19" x14ac:dyDescent="0.25">
      <c r="E52" s="13"/>
      <c r="F52" s="60" t="s">
        <v>70</v>
      </c>
      <c r="G52" s="14"/>
      <c r="H52" s="1087" t="s">
        <v>15</v>
      </c>
      <c r="I52" s="1089"/>
      <c r="J52" s="1109" t="s">
        <v>90</v>
      </c>
      <c r="K52" s="14"/>
      <c r="L52" s="61" t="s">
        <v>71</v>
      </c>
      <c r="M52" s="14"/>
      <c r="N52" s="1087" t="s">
        <v>26</v>
      </c>
      <c r="O52" s="1088"/>
      <c r="P52" s="1089"/>
      <c r="Q52" s="18"/>
    </row>
    <row r="53" spans="1:19" ht="15" customHeight="1" x14ac:dyDescent="0.25">
      <c r="A53" s="375"/>
      <c r="B53" s="375" t="s">
        <v>122</v>
      </c>
      <c r="C53" s="375"/>
      <c r="E53" s="13"/>
      <c r="F53" s="14"/>
      <c r="G53" s="14"/>
      <c r="H53" s="1112"/>
      <c r="I53" s="1113"/>
      <c r="J53" s="1110"/>
      <c r="K53" s="14"/>
      <c r="L53" s="15"/>
      <c r="M53" s="14"/>
      <c r="N53" s="1124" t="s">
        <v>27</v>
      </c>
      <c r="O53" s="1125"/>
      <c r="P53" s="1126"/>
      <c r="Q53" s="18"/>
    </row>
    <row r="54" spans="1:19" x14ac:dyDescent="0.25">
      <c r="A54" s="375"/>
      <c r="B54" s="375" t="s">
        <v>261</v>
      </c>
      <c r="C54" s="375"/>
      <c r="E54" s="13"/>
      <c r="F54" s="14"/>
      <c r="G54" s="14"/>
      <c r="H54" s="1114" t="s">
        <v>35</v>
      </c>
      <c r="I54" s="1115"/>
      <c r="J54" s="1111"/>
      <c r="K54" s="14"/>
      <c r="L54" s="15"/>
      <c r="M54" s="14"/>
      <c r="N54" s="1127">
        <f>'3 - Demand Livestock'!M11</f>
        <v>50</v>
      </c>
      <c r="O54" s="1106"/>
      <c r="P54" s="1128"/>
      <c r="Q54" s="18"/>
    </row>
    <row r="55" spans="1:19" x14ac:dyDescent="0.25">
      <c r="E55" s="13"/>
      <c r="F55" s="14"/>
      <c r="G55" s="62" t="s">
        <v>16</v>
      </c>
      <c r="H55" s="983">
        <f>'3 - Demand Livestock'!F12</f>
        <v>7</v>
      </c>
      <c r="I55" s="1108"/>
      <c r="J55" s="63">
        <f>'3 - Demand Livestock'!H12</f>
        <v>0.5</v>
      </c>
      <c r="K55" s="14"/>
      <c r="L55" s="15"/>
      <c r="M55" s="14"/>
      <c r="N55" s="14"/>
      <c r="O55" s="14"/>
      <c r="P55" s="14"/>
      <c r="Q55" s="18"/>
    </row>
    <row r="56" spans="1:19" x14ac:dyDescent="0.25">
      <c r="E56" s="13"/>
      <c r="F56" s="14"/>
      <c r="G56" s="62" t="s">
        <v>17</v>
      </c>
      <c r="H56" s="983">
        <f>'3 - Demand Livestock'!F13</f>
        <v>22</v>
      </c>
      <c r="I56" s="1108"/>
      <c r="J56" s="63">
        <f>'3 - Demand Livestock'!H13</f>
        <v>0.1</v>
      </c>
      <c r="K56" s="14"/>
      <c r="L56" s="15"/>
      <c r="M56" s="14"/>
      <c r="N56" s="14"/>
      <c r="O56" s="14"/>
      <c r="P56" s="14"/>
      <c r="Q56" s="18"/>
    </row>
    <row r="57" spans="1:19" x14ac:dyDescent="0.25">
      <c r="E57" s="13"/>
      <c r="F57" s="14"/>
      <c r="G57" s="62" t="s">
        <v>18</v>
      </c>
      <c r="H57" s="983">
        <f>'3 - Demand Livestock'!F14</f>
        <v>17</v>
      </c>
      <c r="I57" s="1108"/>
      <c r="J57" s="63">
        <f>'3 - Demand Livestock'!H14</f>
        <v>0.1</v>
      </c>
      <c r="K57" s="14"/>
      <c r="L57" s="15"/>
      <c r="M57" s="14"/>
      <c r="N57" s="14"/>
      <c r="O57" s="14"/>
      <c r="P57" s="14"/>
      <c r="Q57" s="18"/>
    </row>
    <row r="58" spans="1:19" x14ac:dyDescent="0.25">
      <c r="E58" s="13"/>
      <c r="F58" s="14"/>
      <c r="G58" s="62" t="s">
        <v>19</v>
      </c>
      <c r="H58" s="983">
        <f>'3 - Demand Livestock'!F15</f>
        <v>3</v>
      </c>
      <c r="I58" s="1108"/>
      <c r="J58" s="63">
        <f>'3 - Demand Livestock'!H15</f>
        <v>1.1000000000000001</v>
      </c>
      <c r="K58" s="14"/>
      <c r="L58" s="15"/>
      <c r="M58" s="14"/>
      <c r="N58" s="14"/>
      <c r="O58" s="14"/>
      <c r="P58" s="14"/>
      <c r="Q58" s="18"/>
    </row>
    <row r="59" spans="1:19" x14ac:dyDescent="0.25">
      <c r="E59" s="13"/>
      <c r="F59" s="14"/>
      <c r="G59" s="62" t="s">
        <v>20</v>
      </c>
      <c r="H59" s="1016">
        <f>'3 - Demand Livestock'!F16</f>
        <v>0.5</v>
      </c>
      <c r="I59" s="1104"/>
      <c r="J59" s="63">
        <f>'3 - Demand Livestock'!H16</f>
        <v>0.6</v>
      </c>
      <c r="K59" s="64"/>
      <c r="L59" s="15"/>
      <c r="M59" s="14"/>
      <c r="N59" s="53"/>
      <c r="O59" s="53"/>
      <c r="P59" s="53"/>
      <c r="Q59" s="65"/>
      <c r="R59" s="54"/>
      <c r="S59" s="54"/>
    </row>
    <row r="60" spans="1:19" x14ac:dyDescent="0.25">
      <c r="E60" s="13"/>
      <c r="F60" s="14"/>
      <c r="G60" s="14"/>
      <c r="H60" s="14"/>
      <c r="I60" s="14"/>
      <c r="J60" s="14"/>
      <c r="K60" s="14"/>
      <c r="L60" s="15"/>
      <c r="M60" s="14"/>
      <c r="N60" s="14"/>
      <c r="O60" s="14"/>
      <c r="P60" s="14"/>
      <c r="Q60" s="18"/>
      <c r="R60" s="40"/>
      <c r="S60" s="40"/>
    </row>
    <row r="61" spans="1:19" x14ac:dyDescent="0.25">
      <c r="E61" s="13"/>
      <c r="F61" s="1011" t="s">
        <v>14</v>
      </c>
      <c r="G61" s="1012"/>
      <c r="H61" s="36" t="s">
        <v>276</v>
      </c>
      <c r="I61" s="14"/>
      <c r="J61" s="14"/>
      <c r="K61" s="14"/>
      <c r="L61" s="15"/>
      <c r="M61" s="14"/>
      <c r="N61" s="14"/>
      <c r="O61" s="14"/>
      <c r="P61" s="14"/>
      <c r="Q61" s="18"/>
    </row>
    <row r="62" spans="1:19" x14ac:dyDescent="0.25">
      <c r="E62" s="13"/>
      <c r="F62" s="1011" t="s">
        <v>22</v>
      </c>
      <c r="G62" s="1012"/>
      <c r="H62" s="36" t="s">
        <v>89</v>
      </c>
      <c r="I62" s="14"/>
      <c r="J62" s="14"/>
      <c r="K62" s="14"/>
      <c r="L62" s="15"/>
      <c r="M62" s="14"/>
      <c r="N62" s="14"/>
      <c r="O62" s="14"/>
      <c r="P62" s="14"/>
      <c r="Q62" s="18"/>
    </row>
    <row r="63" spans="1:19" x14ac:dyDescent="0.25">
      <c r="B63" s="66"/>
      <c r="C63" s="66"/>
      <c r="D63" s="67"/>
      <c r="E63" s="26"/>
      <c r="F63" s="32"/>
      <c r="G63" s="32"/>
      <c r="H63" s="35"/>
      <c r="I63" s="32"/>
      <c r="J63" s="32"/>
      <c r="K63" s="32"/>
      <c r="L63" s="32"/>
      <c r="M63" s="32"/>
      <c r="N63" s="32"/>
      <c r="O63" s="32"/>
      <c r="P63" s="32"/>
      <c r="Q63" s="37"/>
    </row>
    <row r="64" spans="1:19" x14ac:dyDescent="0.25">
      <c r="B64" s="66"/>
      <c r="C64" s="66"/>
      <c r="D64" s="67"/>
      <c r="E64" s="40"/>
      <c r="F64" s="40"/>
      <c r="G64" s="40"/>
      <c r="H64" s="68"/>
      <c r="I64" s="40"/>
      <c r="J64" s="40"/>
      <c r="K64" s="40"/>
      <c r="L64" s="40"/>
      <c r="M64" s="40"/>
      <c r="N64" s="40"/>
      <c r="O64" s="40"/>
      <c r="P64" s="40"/>
      <c r="Q64" s="40"/>
    </row>
    <row r="65" spans="2:21" x14ac:dyDescent="0.25">
      <c r="B65" s="66"/>
      <c r="C65" s="66"/>
      <c r="D65" s="67"/>
    </row>
    <row r="66" spans="2:21" x14ac:dyDescent="0.25">
      <c r="B66" s="66"/>
      <c r="C66" s="66"/>
      <c r="D66" s="67"/>
      <c r="F66" s="9"/>
      <c r="G66" s="10"/>
      <c r="H66" s="11"/>
      <c r="I66" s="10"/>
      <c r="J66" s="10"/>
      <c r="K66" s="10"/>
      <c r="L66" s="10"/>
      <c r="M66" s="10"/>
      <c r="N66" s="10"/>
      <c r="O66" s="10"/>
      <c r="P66" s="12"/>
    </row>
    <row r="67" spans="2:21" ht="15" customHeight="1" x14ac:dyDescent="0.25">
      <c r="B67" s="66"/>
      <c r="C67" s="66"/>
      <c r="D67" s="70"/>
      <c r="F67" s="71"/>
      <c r="G67" s="14"/>
      <c r="H67" s="1078" t="s">
        <v>29</v>
      </c>
      <c r="I67" s="1078"/>
      <c r="J67" s="1078"/>
      <c r="K67" s="1078"/>
      <c r="L67" s="1078"/>
      <c r="M67" s="1078"/>
      <c r="N67" s="1078"/>
      <c r="O67" s="1078"/>
      <c r="P67" s="72"/>
      <c r="Q67" s="73"/>
      <c r="R67" s="73"/>
      <c r="S67" s="73"/>
    </row>
    <row r="68" spans="2:21" x14ac:dyDescent="0.25">
      <c r="B68" s="66"/>
      <c r="C68" s="66"/>
      <c r="D68" s="67"/>
      <c r="F68" s="13"/>
      <c r="G68" s="19" t="s">
        <v>0</v>
      </c>
      <c r="H68" s="74" t="str">
        <f>G55</f>
        <v>Cattle</v>
      </c>
      <c r="I68" s="74" t="str">
        <f>G56</f>
        <v>Goats</v>
      </c>
      <c r="J68" s="74" t="str">
        <f>G57</f>
        <v>Sheep</v>
      </c>
      <c r="K68" s="74" t="str">
        <f>G58</f>
        <v>Camels</v>
      </c>
      <c r="L68" s="74" t="str">
        <f>G59</f>
        <v>Donkey</v>
      </c>
      <c r="M68" s="74"/>
      <c r="N68" s="1068" t="s">
        <v>23</v>
      </c>
      <c r="O68" s="1069"/>
      <c r="P68" s="18"/>
      <c r="Q68" s="75"/>
      <c r="R68" s="40"/>
      <c r="S68" s="40"/>
    </row>
    <row r="69" spans="2:21" x14ac:dyDescent="0.25">
      <c r="B69" s="66"/>
      <c r="C69" s="66"/>
      <c r="D69" s="67"/>
      <c r="F69" s="13"/>
      <c r="G69" s="63">
        <f>'3 - Demand Livestock'!F24</f>
        <v>2013</v>
      </c>
      <c r="H69" s="76">
        <f>'3 - Demand Livestock'!I24</f>
        <v>25819.031412798751</v>
      </c>
      <c r="I69" s="77">
        <f>'3 - Demand Livestock'!K24</f>
        <v>81145.527297367502</v>
      </c>
      <c r="J69" s="77">
        <f>'3 - Demand Livestock'!M24</f>
        <v>62703.362002511247</v>
      </c>
      <c r="K69" s="77">
        <f>'3 - Demand Livestock'!O24</f>
        <v>11065.29917691375</v>
      </c>
      <c r="L69" s="76">
        <f>'3 - Demand Livestock'!Q24</f>
        <v>1844.216529485625</v>
      </c>
      <c r="M69" s="78"/>
      <c r="N69" s="1066">
        <f>'3 - Demand Livestock'!T24</f>
        <v>16905.318186951565</v>
      </c>
      <c r="O69" s="1067"/>
      <c r="P69" s="18"/>
      <c r="Q69" s="73"/>
      <c r="R69" s="40"/>
      <c r="S69" s="40"/>
    </row>
    <row r="70" spans="2:21" x14ac:dyDescent="0.25">
      <c r="B70" s="66"/>
      <c r="C70" s="66"/>
      <c r="D70" s="67"/>
      <c r="F70" s="13"/>
      <c r="G70" s="63">
        <f>'3 - Demand Livestock'!F25</f>
        <v>2023</v>
      </c>
      <c r="H70" s="76">
        <f>'3 - Demand Livestock'!I25</f>
        <v>34698.619214460639</v>
      </c>
      <c r="I70" s="77">
        <f>'3 - Demand Livestock'!K25</f>
        <v>109052.80324544772</v>
      </c>
      <c r="J70" s="77">
        <f>'3 - Demand Livestock'!M25</f>
        <v>84268.075235118697</v>
      </c>
      <c r="K70" s="77">
        <f>'3 - Demand Livestock'!O25</f>
        <v>14870.836806197416</v>
      </c>
      <c r="L70" s="76">
        <f>'3 - Demand Livestock'!Q25</f>
        <v>2478.4728010329027</v>
      </c>
      <c r="M70" s="78"/>
      <c r="N70" s="1066">
        <f>'3 - Demand Livestock'!T25</f>
        <v>22719.334009468275</v>
      </c>
      <c r="O70" s="1067"/>
      <c r="P70" s="18"/>
      <c r="Q70" s="73"/>
      <c r="R70" s="40"/>
      <c r="S70" s="40"/>
    </row>
    <row r="71" spans="2:21" x14ac:dyDescent="0.25">
      <c r="B71" s="66"/>
      <c r="C71" s="66"/>
      <c r="D71" s="67"/>
      <c r="F71" s="13"/>
      <c r="G71" s="63">
        <f>'3 - Demand Livestock'!F26</f>
        <v>2033</v>
      </c>
      <c r="H71" s="76">
        <f>'3 - Demand Livestock'!I26</f>
        <v>46632.042702938306</v>
      </c>
      <c r="I71" s="77">
        <f>'3 - Demand Livestock'!K26</f>
        <v>146557.84849494896</v>
      </c>
      <c r="J71" s="77">
        <f>'3 - Demand Livestock'!M26</f>
        <v>113249.24656427874</v>
      </c>
      <c r="K71" s="77">
        <f>'3 - Demand Livestock'!O26</f>
        <v>19985.16115840213</v>
      </c>
      <c r="L71" s="76">
        <f>'3 - Demand Livestock'!Q26</f>
        <v>3330.860193067022</v>
      </c>
      <c r="M71" s="78"/>
      <c r="N71" s="1066">
        <f>'3 - Demand Livestock'!T26</f>
        <v>30532.885103114368</v>
      </c>
      <c r="O71" s="1067"/>
      <c r="P71" s="18"/>
      <c r="Q71" s="73"/>
      <c r="R71" s="40"/>
      <c r="S71" s="40"/>
    </row>
    <row r="72" spans="2:21" x14ac:dyDescent="0.25">
      <c r="B72" s="66"/>
      <c r="C72" s="66"/>
      <c r="D72" s="67"/>
      <c r="F72" s="13"/>
      <c r="G72" s="14"/>
      <c r="H72" s="79"/>
      <c r="I72" s="14"/>
      <c r="J72" s="53"/>
      <c r="K72" s="78"/>
      <c r="L72" s="53"/>
      <c r="M72" s="78"/>
      <c r="N72" s="53"/>
      <c r="O72" s="78"/>
      <c r="P72" s="65"/>
      <c r="Q72" s="73"/>
      <c r="R72" s="54"/>
      <c r="S72" s="73"/>
      <c r="U72" s="80"/>
    </row>
    <row r="73" spans="2:21" x14ac:dyDescent="0.25">
      <c r="B73" s="66"/>
      <c r="C73" s="66"/>
      <c r="D73" s="67"/>
      <c r="F73" s="13"/>
      <c r="G73" s="14"/>
      <c r="H73" s="15"/>
      <c r="I73" s="14"/>
      <c r="J73" s="14"/>
      <c r="K73" s="14"/>
      <c r="L73" s="14"/>
      <c r="M73" s="14"/>
      <c r="N73" s="14"/>
      <c r="O73" s="14"/>
      <c r="P73" s="18"/>
    </row>
    <row r="74" spans="2:21" ht="15" customHeight="1" x14ac:dyDescent="0.25">
      <c r="F74" s="13"/>
      <c r="G74" s="14"/>
      <c r="H74" s="15"/>
      <c r="I74" s="14"/>
      <c r="J74" s="969" t="s">
        <v>74</v>
      </c>
      <c r="K74" s="1064"/>
      <c r="L74" s="1064"/>
      <c r="M74" s="1065"/>
      <c r="N74" s="78"/>
      <c r="O74" s="14"/>
      <c r="P74" s="18"/>
      <c r="Q74" s="40"/>
      <c r="R74" s="40"/>
      <c r="S74" s="40"/>
    </row>
    <row r="75" spans="2:21" ht="15" customHeight="1" x14ac:dyDescent="0.25">
      <c r="F75" s="13"/>
      <c r="G75" s="14"/>
      <c r="H75" s="15"/>
      <c r="I75" s="14"/>
      <c r="J75" s="970" t="s">
        <v>24</v>
      </c>
      <c r="K75" s="1079"/>
      <c r="L75" s="1079"/>
      <c r="M75" s="1080"/>
      <c r="N75" s="78"/>
      <c r="O75" s="14"/>
      <c r="P75" s="18"/>
      <c r="Q75" s="40"/>
      <c r="R75" s="40"/>
      <c r="S75" s="40"/>
    </row>
    <row r="76" spans="2:21" ht="15" customHeight="1" x14ac:dyDescent="0.25">
      <c r="F76" s="13"/>
      <c r="G76" s="14"/>
      <c r="H76" s="15"/>
      <c r="I76" s="14"/>
      <c r="J76" s="1095" t="s">
        <v>232</v>
      </c>
      <c r="K76" s="1096"/>
      <c r="L76" s="1093" t="s">
        <v>109</v>
      </c>
      <c r="M76" s="1094"/>
      <c r="N76" s="78"/>
      <c r="O76" s="14"/>
      <c r="P76" s="18"/>
      <c r="Q76" s="40"/>
      <c r="R76" s="40"/>
      <c r="S76" s="40"/>
    </row>
    <row r="77" spans="2:21" ht="15" customHeight="1" x14ac:dyDescent="0.25">
      <c r="F77" s="13"/>
      <c r="G77" s="14"/>
      <c r="H77" s="19" t="s">
        <v>0</v>
      </c>
      <c r="I77" s="14"/>
      <c r="J77" s="78"/>
      <c r="K77" s="78"/>
      <c r="L77" s="78"/>
      <c r="M77" s="78"/>
      <c r="N77" s="78"/>
      <c r="O77" s="14"/>
      <c r="P77" s="18"/>
      <c r="Q77" s="40"/>
      <c r="R77" s="40"/>
      <c r="S77" s="40"/>
    </row>
    <row r="78" spans="2:21" ht="15" customHeight="1" x14ac:dyDescent="0.25">
      <c r="F78" s="13"/>
      <c r="G78" s="14"/>
      <c r="H78" s="9">
        <f>'3 - Demand Livestock'!F31</f>
        <v>2013</v>
      </c>
      <c r="I78" s="23"/>
      <c r="J78" s="975">
        <f>'3 - Demand Livestock'!I31</f>
        <v>845265.90934757818</v>
      </c>
      <c r="K78" s="1081"/>
      <c r="L78" s="971" t="s">
        <v>28</v>
      </c>
      <c r="M78" s="1082"/>
      <c r="N78" s="78"/>
      <c r="O78" s="14"/>
      <c r="P78" s="18"/>
      <c r="Q78" s="40"/>
      <c r="R78" s="40"/>
      <c r="S78" s="40"/>
    </row>
    <row r="79" spans="2:21" ht="15" customHeight="1" x14ac:dyDescent="0.25">
      <c r="F79" s="13"/>
      <c r="G79" s="14"/>
      <c r="H79" s="26"/>
      <c r="I79" s="29"/>
      <c r="J79" s="1083">
        <f>'3 - Demand Livestock'!I32</f>
        <v>845.26590934757826</v>
      </c>
      <c r="K79" s="1084"/>
      <c r="L79" s="1085" t="s">
        <v>5</v>
      </c>
      <c r="M79" s="1086"/>
      <c r="N79" s="78"/>
      <c r="O79" s="14"/>
      <c r="P79" s="18"/>
      <c r="Q79" s="40"/>
      <c r="R79" s="40"/>
      <c r="S79" s="40"/>
    </row>
    <row r="80" spans="2:21" ht="15" customHeight="1" x14ac:dyDescent="0.25">
      <c r="F80" s="13"/>
      <c r="G80" s="14"/>
      <c r="H80" s="9">
        <f>'3 - Demand Livestock'!F33</f>
        <v>2023</v>
      </c>
      <c r="I80" s="23"/>
      <c r="J80" s="975">
        <f>'3 - Demand Livestock'!I33</f>
        <v>1135966.7004734138</v>
      </c>
      <c r="K80" s="1081"/>
      <c r="L80" s="971" t="s">
        <v>28</v>
      </c>
      <c r="M80" s="1082"/>
      <c r="N80" s="78"/>
      <c r="O80" s="14"/>
      <c r="P80" s="18"/>
      <c r="Q80" s="40"/>
      <c r="R80" s="40"/>
      <c r="S80" s="40"/>
    </row>
    <row r="81" spans="1:19" ht="15" customHeight="1" x14ac:dyDescent="0.25">
      <c r="F81" s="13"/>
      <c r="G81" s="14"/>
      <c r="H81" s="26"/>
      <c r="I81" s="29"/>
      <c r="J81" s="1083">
        <f>'3 - Demand Livestock'!I34</f>
        <v>1135.9667004734138</v>
      </c>
      <c r="K81" s="1097"/>
      <c r="L81" s="1085" t="s">
        <v>5</v>
      </c>
      <c r="M81" s="1098"/>
      <c r="N81" s="78"/>
      <c r="O81" s="14"/>
      <c r="P81" s="18"/>
      <c r="Q81" s="40"/>
      <c r="R81" s="40"/>
      <c r="S81" s="40"/>
    </row>
    <row r="82" spans="1:19" ht="15" customHeight="1" x14ac:dyDescent="0.25">
      <c r="F82" s="13"/>
      <c r="G82" s="14"/>
      <c r="H82" s="9">
        <f>'3 - Demand Livestock'!F35</f>
        <v>2033</v>
      </c>
      <c r="I82" s="23"/>
      <c r="J82" s="975">
        <f>'3 - Demand Livestock'!I35</f>
        <v>1526644.2551557184</v>
      </c>
      <c r="K82" s="1081"/>
      <c r="L82" s="971" t="s">
        <v>28</v>
      </c>
      <c r="M82" s="1082"/>
      <c r="N82" s="78"/>
      <c r="O82" s="14"/>
      <c r="P82" s="18"/>
      <c r="Q82" s="40"/>
      <c r="R82" s="40"/>
      <c r="S82" s="40"/>
    </row>
    <row r="83" spans="1:19" ht="15" customHeight="1" x14ac:dyDescent="0.25">
      <c r="F83" s="13"/>
      <c r="G83" s="14"/>
      <c r="H83" s="26"/>
      <c r="I83" s="32"/>
      <c r="J83" s="977">
        <f>'3 - Demand Livestock'!I36</f>
        <v>1526.6442551557184</v>
      </c>
      <c r="K83" s="1099"/>
      <c r="L83" s="973" t="s">
        <v>5</v>
      </c>
      <c r="M83" s="1107"/>
      <c r="N83" s="78"/>
      <c r="O83" s="14"/>
      <c r="P83" s="18"/>
      <c r="Q83" s="40"/>
      <c r="R83" s="40"/>
      <c r="S83" s="40"/>
    </row>
    <row r="84" spans="1:19" ht="15" customHeight="1" x14ac:dyDescent="0.25">
      <c r="F84" s="26"/>
      <c r="G84" s="32"/>
      <c r="H84" s="32"/>
      <c r="I84" s="32"/>
      <c r="J84" s="83"/>
      <c r="K84" s="84"/>
      <c r="L84" s="85"/>
      <c r="M84" s="86"/>
      <c r="N84" s="87"/>
      <c r="O84" s="32"/>
      <c r="P84" s="37"/>
      <c r="Q84" s="40"/>
      <c r="R84" s="40"/>
      <c r="S84" s="40"/>
    </row>
    <row r="85" spans="1:19" ht="15" customHeight="1" x14ac:dyDescent="0.25">
      <c r="F85" s="40"/>
      <c r="G85" s="40"/>
      <c r="H85" s="40"/>
      <c r="I85" s="40"/>
      <c r="J85" s="88"/>
      <c r="K85" s="89"/>
      <c r="L85" s="90"/>
      <c r="M85" s="91"/>
      <c r="N85" s="73"/>
      <c r="O85" s="40"/>
      <c r="P85" s="40"/>
      <c r="Q85" s="40"/>
      <c r="R85" s="40"/>
      <c r="S85" s="40"/>
    </row>
    <row r="86" spans="1:19" ht="15" customHeight="1" x14ac:dyDescent="0.25">
      <c r="F86" s="40"/>
      <c r="G86" s="40"/>
      <c r="H86" s="40"/>
      <c r="I86" s="40"/>
      <c r="J86" s="88"/>
      <c r="K86" s="89"/>
      <c r="L86" s="90"/>
      <c r="M86" s="91"/>
      <c r="N86" s="73"/>
      <c r="O86" s="40"/>
      <c r="P86" s="40"/>
      <c r="Q86" s="40"/>
      <c r="R86" s="40"/>
      <c r="S86" s="40"/>
    </row>
    <row r="87" spans="1:19" ht="15" customHeight="1" x14ac:dyDescent="0.25">
      <c r="A87" s="374"/>
      <c r="B87" s="375" t="s">
        <v>91</v>
      </c>
      <c r="C87" s="375"/>
      <c r="F87" s="9"/>
      <c r="G87" s="10"/>
      <c r="H87" s="11"/>
      <c r="I87" s="10"/>
      <c r="J87" s="10"/>
      <c r="K87" s="10"/>
      <c r="L87" s="10"/>
      <c r="M87" s="10"/>
      <c r="N87" s="10"/>
      <c r="O87" s="10"/>
      <c r="P87" s="12"/>
      <c r="Q87" s="40"/>
      <c r="R87" s="40"/>
      <c r="S87" s="40"/>
    </row>
    <row r="88" spans="1:19" ht="15" customHeight="1" x14ac:dyDescent="0.25">
      <c r="F88" s="71"/>
      <c r="G88" s="14"/>
      <c r="H88" s="1078" t="s">
        <v>29</v>
      </c>
      <c r="I88" s="1078"/>
      <c r="J88" s="1078"/>
      <c r="K88" s="1078"/>
      <c r="L88" s="1078"/>
      <c r="M88" s="1078"/>
      <c r="N88" s="1078"/>
      <c r="O88" s="1078"/>
      <c r="P88" s="72"/>
      <c r="Q88" s="40"/>
      <c r="R88" s="40"/>
      <c r="S88" s="40"/>
    </row>
    <row r="89" spans="1:19" ht="15" customHeight="1" x14ac:dyDescent="0.25">
      <c r="A89" s="375"/>
      <c r="B89" s="375" t="s">
        <v>123</v>
      </c>
      <c r="C89" s="375"/>
      <c r="F89" s="13"/>
      <c r="G89" s="19" t="s">
        <v>0</v>
      </c>
      <c r="H89" s="74" t="str">
        <f>H68</f>
        <v>Cattle</v>
      </c>
      <c r="I89" s="74" t="str">
        <f>I68</f>
        <v>Goats</v>
      </c>
      <c r="J89" s="74" t="str">
        <f>J68</f>
        <v>Sheep</v>
      </c>
      <c r="K89" s="74" t="str">
        <f>K68</f>
        <v>Camels</v>
      </c>
      <c r="L89" s="74" t="str">
        <f>L68</f>
        <v>Donkey</v>
      </c>
      <c r="M89" s="74"/>
      <c r="N89" s="1068" t="s">
        <v>23</v>
      </c>
      <c r="O89" s="1069"/>
      <c r="P89" s="18"/>
      <c r="Q89" s="40"/>
      <c r="R89" s="40"/>
      <c r="S89" s="40"/>
    </row>
    <row r="90" spans="1:19" ht="15" customHeight="1" x14ac:dyDescent="0.25">
      <c r="A90" s="375"/>
      <c r="B90" s="375" t="s">
        <v>262</v>
      </c>
      <c r="C90" s="375"/>
      <c r="F90" s="13"/>
      <c r="G90" s="63">
        <f>'3 - Demand Livestock'!G46</f>
        <v>2009</v>
      </c>
      <c r="H90" s="76">
        <f>'3 - Demand Livestock'!I46</f>
        <v>0</v>
      </c>
      <c r="I90" s="76">
        <f>'3 - Demand Livestock'!K46</f>
        <v>0</v>
      </c>
      <c r="J90" s="76">
        <f>'3 - Demand Livestock'!M46</f>
        <v>0</v>
      </c>
      <c r="K90" s="76">
        <f>'3 - Demand Livestock'!O46</f>
        <v>0</v>
      </c>
      <c r="L90" s="76">
        <f>'3 - Demand Livestock'!Q46</f>
        <v>0</v>
      </c>
      <c r="M90" s="78"/>
      <c r="N90" s="1066">
        <f>'3 - Demand Livestock'!T46</f>
        <v>0</v>
      </c>
      <c r="O90" s="1067"/>
      <c r="P90" s="18"/>
      <c r="Q90" s="40"/>
      <c r="R90" s="40"/>
      <c r="S90" s="40"/>
    </row>
    <row r="91" spans="1:19" ht="15" customHeight="1" x14ac:dyDescent="0.25">
      <c r="F91" s="13"/>
      <c r="G91" s="63">
        <f>'3 - Demand Livestock'!G47</f>
        <v>2013</v>
      </c>
      <c r="H91" s="76">
        <f>'3 - Demand Livestock'!I47</f>
        <v>0</v>
      </c>
      <c r="I91" s="76">
        <f>'3 - Demand Livestock'!K47</f>
        <v>0</v>
      </c>
      <c r="J91" s="76">
        <f>'3 - Demand Livestock'!M47</f>
        <v>0</v>
      </c>
      <c r="K91" s="76">
        <f>'3 - Demand Livestock'!O47</f>
        <v>0</v>
      </c>
      <c r="L91" s="76">
        <f>'3 - Demand Livestock'!Q47</f>
        <v>0</v>
      </c>
      <c r="M91" s="78"/>
      <c r="N91" s="1066">
        <f>'3 - Demand Livestock'!T47</f>
        <v>0</v>
      </c>
      <c r="O91" s="1067"/>
      <c r="P91" s="18"/>
      <c r="Q91" s="40"/>
      <c r="R91" s="40"/>
      <c r="S91" s="40"/>
    </row>
    <row r="92" spans="1:19" ht="15" customHeight="1" x14ac:dyDescent="0.25">
      <c r="F92" s="13"/>
      <c r="G92" s="63">
        <f>'3 - Demand Livestock'!G48</f>
        <v>2023</v>
      </c>
      <c r="H92" s="76">
        <f>'3 - Demand Livestock'!I48</f>
        <v>0</v>
      </c>
      <c r="I92" s="76">
        <f>'3 - Demand Livestock'!K48</f>
        <v>0</v>
      </c>
      <c r="J92" s="76">
        <f>'3 - Demand Livestock'!M48</f>
        <v>0</v>
      </c>
      <c r="K92" s="76">
        <f>'3 - Demand Livestock'!O48</f>
        <v>0</v>
      </c>
      <c r="L92" s="76">
        <f>'3 - Demand Livestock'!Q48</f>
        <v>0</v>
      </c>
      <c r="M92" s="78"/>
      <c r="N92" s="1066">
        <f>'3 - Demand Livestock'!T48</f>
        <v>0</v>
      </c>
      <c r="O92" s="1067"/>
      <c r="P92" s="18"/>
      <c r="Q92" s="40"/>
      <c r="R92" s="40"/>
      <c r="S92" s="40"/>
    </row>
    <row r="93" spans="1:19" ht="15" customHeight="1" x14ac:dyDescent="0.25">
      <c r="F93" s="13"/>
      <c r="G93" s="63">
        <f>'3 - Demand Livestock'!G49</f>
        <v>2033</v>
      </c>
      <c r="H93" s="76">
        <f>'3 - Demand Livestock'!I49</f>
        <v>0</v>
      </c>
      <c r="I93" s="76">
        <f>'3 - Demand Livestock'!K49</f>
        <v>0</v>
      </c>
      <c r="J93" s="76">
        <f>'3 - Demand Livestock'!M49</f>
        <v>0</v>
      </c>
      <c r="K93" s="76">
        <f>'3 - Demand Livestock'!O49</f>
        <v>0</v>
      </c>
      <c r="L93" s="76">
        <f>'3 - Demand Livestock'!Q49</f>
        <v>0</v>
      </c>
      <c r="M93" s="78"/>
      <c r="N93" s="1066">
        <f>'3 - Demand Livestock'!T49</f>
        <v>0</v>
      </c>
      <c r="O93" s="1067"/>
      <c r="P93" s="18"/>
      <c r="Q93" s="40"/>
      <c r="R93" s="40"/>
      <c r="S93" s="40"/>
    </row>
    <row r="94" spans="1:19" ht="15" customHeight="1" x14ac:dyDescent="0.25">
      <c r="F94" s="13"/>
      <c r="G94" s="14"/>
      <c r="H94" s="79"/>
      <c r="I94" s="14"/>
      <c r="J94" s="53"/>
      <c r="K94" s="78"/>
      <c r="L94" s="53"/>
      <c r="M94" s="78"/>
      <c r="N94" s="53"/>
      <c r="O94" s="78"/>
      <c r="P94" s="65"/>
      <c r="Q94" s="40"/>
      <c r="R94" s="40"/>
      <c r="S94" s="40"/>
    </row>
    <row r="95" spans="1:19" ht="15" customHeight="1" x14ac:dyDescent="0.25">
      <c r="F95" s="13"/>
      <c r="G95" s="14"/>
      <c r="H95" s="15"/>
      <c r="I95" s="14"/>
      <c r="J95" s="14"/>
      <c r="K95" s="14"/>
      <c r="L95" s="14"/>
      <c r="M95" s="14"/>
      <c r="N95" s="14"/>
      <c r="O95" s="14"/>
      <c r="P95" s="18"/>
      <c r="Q95" s="40"/>
      <c r="R95" s="40"/>
      <c r="S95" s="40"/>
    </row>
    <row r="96" spans="1:19" ht="15" customHeight="1" x14ac:dyDescent="0.25">
      <c r="F96" s="13"/>
      <c r="G96" s="14"/>
      <c r="H96" s="15"/>
      <c r="I96" s="14"/>
      <c r="J96" s="969" t="s">
        <v>74</v>
      </c>
      <c r="K96" s="1064"/>
      <c r="L96" s="1064"/>
      <c r="M96" s="1065"/>
      <c r="N96" s="78"/>
      <c r="O96" s="14"/>
      <c r="P96" s="18"/>
      <c r="Q96" s="40"/>
      <c r="R96" s="40"/>
      <c r="S96" s="40"/>
    </row>
    <row r="97" spans="1:19" ht="15" customHeight="1" x14ac:dyDescent="0.25">
      <c r="F97" s="13"/>
      <c r="G97" s="14"/>
      <c r="H97" s="15"/>
      <c r="I97" s="14"/>
      <c r="J97" s="970" t="s">
        <v>24</v>
      </c>
      <c r="K97" s="1079"/>
      <c r="L97" s="1079"/>
      <c r="M97" s="1080"/>
      <c r="N97" s="78"/>
      <c r="O97" s="14"/>
      <c r="P97" s="18"/>
      <c r="Q97" s="40"/>
      <c r="R97" s="40"/>
      <c r="S97" s="40"/>
    </row>
    <row r="98" spans="1:19" ht="15" customHeight="1" x14ac:dyDescent="0.25">
      <c r="F98" s="13"/>
      <c r="G98" s="14"/>
      <c r="H98" s="15"/>
      <c r="I98" s="14"/>
      <c r="J98" s="1095" t="s">
        <v>233</v>
      </c>
      <c r="K98" s="1118"/>
      <c r="L98" s="1116" t="s">
        <v>107</v>
      </c>
      <c r="M98" s="1117"/>
      <c r="N98" s="78"/>
      <c r="O98" s="14"/>
      <c r="P98" s="18"/>
      <c r="Q98" s="40"/>
      <c r="R98" s="40"/>
      <c r="S98" s="40"/>
    </row>
    <row r="99" spans="1:19" ht="15" customHeight="1" x14ac:dyDescent="0.25">
      <c r="F99" s="13"/>
      <c r="G99" s="14"/>
      <c r="H99" s="19" t="s">
        <v>0</v>
      </c>
      <c r="I99" s="14"/>
      <c r="J99" s="78"/>
      <c r="K99" s="78"/>
      <c r="L99" s="78"/>
      <c r="M99" s="78"/>
      <c r="N99" s="78"/>
      <c r="O99" s="14"/>
      <c r="P99" s="18"/>
      <c r="Q99" s="40"/>
      <c r="R99" s="40"/>
      <c r="S99" s="40"/>
    </row>
    <row r="100" spans="1:19" ht="15" customHeight="1" x14ac:dyDescent="0.25">
      <c r="F100" s="13"/>
      <c r="G100" s="14"/>
      <c r="H100" s="9">
        <f>'3 - Demand Livestock'!F54</f>
        <v>2013</v>
      </c>
      <c r="I100" s="23"/>
      <c r="J100" s="975">
        <f>'3 - Demand Livestock'!I54</f>
        <v>0</v>
      </c>
      <c r="K100" s="1119"/>
      <c r="L100" s="971" t="s">
        <v>28</v>
      </c>
      <c r="M100" s="1120"/>
      <c r="N100" s="78"/>
      <c r="O100" s="14"/>
      <c r="P100" s="18"/>
      <c r="Q100" s="40"/>
      <c r="R100" s="40"/>
      <c r="S100" s="40"/>
    </row>
    <row r="101" spans="1:19" ht="15" customHeight="1" x14ac:dyDescent="0.25">
      <c r="F101" s="13"/>
      <c r="G101" s="14"/>
      <c r="H101" s="26"/>
      <c r="I101" s="29"/>
      <c r="J101" s="1121">
        <f>'3 - Demand Livestock'!I55</f>
        <v>0</v>
      </c>
      <c r="K101" s="1122"/>
      <c r="L101" s="1085" t="s">
        <v>5</v>
      </c>
      <c r="M101" s="1086"/>
      <c r="N101" s="78"/>
      <c r="O101" s="14"/>
      <c r="P101" s="18"/>
      <c r="Q101" s="40"/>
      <c r="R101" s="40"/>
      <c r="S101" s="40"/>
    </row>
    <row r="102" spans="1:19" ht="15" customHeight="1" x14ac:dyDescent="0.25">
      <c r="F102" s="13"/>
      <c r="G102" s="14"/>
      <c r="H102" s="9">
        <f>'3 - Demand Livestock'!F56</f>
        <v>2023</v>
      </c>
      <c r="I102" s="23"/>
      <c r="J102" s="975">
        <f>'3 - Demand Livestock'!I56</f>
        <v>0</v>
      </c>
      <c r="K102" s="1119"/>
      <c r="L102" s="971" t="s">
        <v>28</v>
      </c>
      <c r="M102" s="1120"/>
      <c r="N102" s="78"/>
      <c r="O102" s="14"/>
      <c r="P102" s="18"/>
      <c r="Q102" s="40"/>
      <c r="R102" s="40"/>
      <c r="S102" s="40"/>
    </row>
    <row r="103" spans="1:19" ht="15" customHeight="1" x14ac:dyDescent="0.25">
      <c r="F103" s="13"/>
      <c r="G103" s="14"/>
      <c r="H103" s="26"/>
      <c r="I103" s="29"/>
      <c r="J103" s="1083">
        <f>'3 - Demand Livestock'!I57</f>
        <v>0</v>
      </c>
      <c r="K103" s="1097"/>
      <c r="L103" s="1085" t="s">
        <v>5</v>
      </c>
      <c r="M103" s="1098"/>
      <c r="N103" s="78"/>
      <c r="O103" s="14"/>
      <c r="P103" s="18"/>
      <c r="Q103" s="40"/>
      <c r="R103" s="40"/>
      <c r="S103" s="40"/>
    </row>
    <row r="104" spans="1:19" ht="15" customHeight="1" x14ac:dyDescent="0.25">
      <c r="F104" s="13"/>
      <c r="G104" s="14"/>
      <c r="H104" s="9">
        <f>'3 - Demand Livestock'!F58</f>
        <v>2033</v>
      </c>
      <c r="I104" s="23"/>
      <c r="J104" s="975">
        <f>'3 - Demand Livestock'!I58</f>
        <v>0</v>
      </c>
      <c r="K104" s="1123"/>
      <c r="L104" s="971" t="s">
        <v>28</v>
      </c>
      <c r="M104" s="1120"/>
      <c r="N104" s="78"/>
      <c r="O104" s="14"/>
      <c r="P104" s="18"/>
      <c r="Q104" s="40"/>
      <c r="R104" s="40"/>
      <c r="S104" s="40"/>
    </row>
    <row r="105" spans="1:19" ht="15" customHeight="1" x14ac:dyDescent="0.25">
      <c r="F105" s="13"/>
      <c r="G105" s="14"/>
      <c r="H105" s="26"/>
      <c r="I105" s="32"/>
      <c r="J105" s="977">
        <f>'3 - Demand Livestock'!I59</f>
        <v>0</v>
      </c>
      <c r="K105" s="1099"/>
      <c r="L105" s="973" t="s">
        <v>5</v>
      </c>
      <c r="M105" s="1107"/>
      <c r="N105" s="78"/>
      <c r="O105" s="14"/>
      <c r="P105" s="18"/>
      <c r="Q105" s="40"/>
      <c r="R105" s="40"/>
      <c r="S105" s="40"/>
    </row>
    <row r="106" spans="1:19" ht="15" customHeight="1" x14ac:dyDescent="0.25">
      <c r="F106" s="26"/>
      <c r="G106" s="32"/>
      <c r="H106" s="32"/>
      <c r="I106" s="32"/>
      <c r="J106" s="83"/>
      <c r="K106" s="84"/>
      <c r="L106" s="85"/>
      <c r="M106" s="86"/>
      <c r="N106" s="87"/>
      <c r="O106" s="32"/>
      <c r="P106" s="37"/>
      <c r="Q106" s="40"/>
      <c r="R106" s="40"/>
      <c r="S106" s="40"/>
    </row>
    <row r="107" spans="1:19" ht="15" customHeight="1" x14ac:dyDescent="0.25">
      <c r="H107" s="40"/>
      <c r="I107" s="40"/>
      <c r="J107" s="88"/>
      <c r="K107" s="89"/>
      <c r="L107" s="90"/>
      <c r="M107" s="91"/>
      <c r="N107" s="73"/>
      <c r="O107" s="40"/>
      <c r="P107" s="40"/>
      <c r="Q107" s="40"/>
      <c r="R107" s="40"/>
      <c r="S107" s="40"/>
    </row>
    <row r="108" spans="1:19" ht="15" customHeight="1" x14ac:dyDescent="0.25">
      <c r="H108" s="40"/>
      <c r="I108" s="40"/>
      <c r="J108" s="88"/>
      <c r="K108" s="89"/>
      <c r="L108" s="90"/>
      <c r="M108" s="91"/>
      <c r="N108" s="73"/>
      <c r="O108" s="40"/>
      <c r="P108" s="40"/>
      <c r="Q108" s="40"/>
      <c r="R108" s="40"/>
      <c r="S108" s="40"/>
    </row>
    <row r="109" spans="1:19" ht="15" customHeight="1" x14ac:dyDescent="0.25">
      <c r="A109" s="374"/>
      <c r="B109" s="375" t="s">
        <v>91</v>
      </c>
      <c r="C109" s="375"/>
      <c r="F109" s="9"/>
      <c r="G109" s="10"/>
      <c r="H109" s="11"/>
      <c r="I109" s="10"/>
      <c r="J109" s="10"/>
      <c r="K109" s="10"/>
      <c r="L109" s="10"/>
      <c r="M109" s="10"/>
      <c r="N109" s="10"/>
      <c r="O109" s="10"/>
      <c r="P109" s="12"/>
      <c r="Q109" s="40"/>
      <c r="R109" s="40"/>
      <c r="S109" s="40"/>
    </row>
    <row r="110" spans="1:19" ht="15" customHeight="1" x14ac:dyDescent="0.25">
      <c r="F110" s="71"/>
      <c r="G110" s="14"/>
      <c r="H110" s="1078" t="s">
        <v>29</v>
      </c>
      <c r="I110" s="1078"/>
      <c r="J110" s="1078"/>
      <c r="K110" s="1078"/>
      <c r="L110" s="1078"/>
      <c r="M110" s="1078"/>
      <c r="N110" s="1078"/>
      <c r="O110" s="1078"/>
      <c r="P110" s="72"/>
      <c r="Q110" s="40"/>
      <c r="R110" s="40"/>
      <c r="S110" s="40"/>
    </row>
    <row r="111" spans="1:19" ht="15" customHeight="1" x14ac:dyDescent="0.25">
      <c r="A111" s="375"/>
      <c r="B111" s="375" t="s">
        <v>201</v>
      </c>
      <c r="C111" s="375"/>
      <c r="F111" s="13"/>
      <c r="G111" s="19" t="s">
        <v>0</v>
      </c>
      <c r="H111" s="74" t="str">
        <f>H89</f>
        <v>Cattle</v>
      </c>
      <c r="I111" s="74" t="str">
        <f>I89</f>
        <v>Goats</v>
      </c>
      <c r="J111" s="74" t="str">
        <f>J89</f>
        <v>Sheep</v>
      </c>
      <c r="K111" s="74" t="str">
        <f>K89</f>
        <v>Camels</v>
      </c>
      <c r="L111" s="74" t="str">
        <f>L89</f>
        <v>Donkey</v>
      </c>
      <c r="M111" s="74"/>
      <c r="N111" s="1068" t="s">
        <v>23</v>
      </c>
      <c r="O111" s="1069"/>
      <c r="P111" s="18"/>
      <c r="Q111" s="40"/>
      <c r="R111" s="40"/>
      <c r="S111" s="40"/>
    </row>
    <row r="112" spans="1:19" ht="15" customHeight="1" x14ac:dyDescent="0.25">
      <c r="A112" s="375"/>
      <c r="B112" s="375" t="s">
        <v>263</v>
      </c>
      <c r="C112" s="375"/>
      <c r="F112" s="13"/>
      <c r="G112" s="63">
        <f>'3 - Demand Livestock'!G88</f>
        <v>2013</v>
      </c>
      <c r="H112" s="76">
        <f>'3 - Demand Livestock'!I88</f>
        <v>0</v>
      </c>
      <c r="I112" s="76">
        <f>'3 - Demand Livestock'!K88</f>
        <v>0</v>
      </c>
      <c r="J112" s="76">
        <f>'3 - Demand Livestock'!M88</f>
        <v>0</v>
      </c>
      <c r="K112" s="76">
        <f>'3 - Demand Livestock'!O88</f>
        <v>0</v>
      </c>
      <c r="L112" s="76">
        <f>'3 - Demand Livestock'!Q88</f>
        <v>0</v>
      </c>
      <c r="M112" s="78"/>
      <c r="N112" s="1066">
        <f>'3 - Demand Livestock'!T88</f>
        <v>0</v>
      </c>
      <c r="O112" s="1067"/>
      <c r="P112" s="18"/>
      <c r="Q112" s="40"/>
      <c r="R112" s="40"/>
      <c r="S112" s="40"/>
    </row>
    <row r="113" spans="1:21" ht="15" customHeight="1" x14ac:dyDescent="0.25">
      <c r="F113" s="13"/>
      <c r="G113" s="63">
        <f>'3 - Demand Livestock'!G89</f>
        <v>2023</v>
      </c>
      <c r="H113" s="76">
        <f>'3 - Demand Livestock'!I89</f>
        <v>0</v>
      </c>
      <c r="I113" s="76">
        <f>'3 - Demand Livestock'!K89</f>
        <v>0</v>
      </c>
      <c r="J113" s="76">
        <f>'3 - Demand Livestock'!M89</f>
        <v>0</v>
      </c>
      <c r="K113" s="76">
        <f>'3 - Demand Livestock'!O89</f>
        <v>0</v>
      </c>
      <c r="L113" s="76">
        <f>'3 - Demand Livestock'!Q89</f>
        <v>0</v>
      </c>
      <c r="M113" s="78"/>
      <c r="N113" s="1066">
        <f>'3 - Demand Livestock'!T89</f>
        <v>0</v>
      </c>
      <c r="O113" s="1067"/>
      <c r="P113" s="18"/>
      <c r="Q113" s="40"/>
      <c r="R113" s="40"/>
      <c r="S113" s="40"/>
    </row>
    <row r="114" spans="1:21" ht="15" customHeight="1" x14ac:dyDescent="0.25">
      <c r="F114" s="13"/>
      <c r="G114" s="63">
        <f>'3 - Demand Livestock'!G90</f>
        <v>2033</v>
      </c>
      <c r="H114" s="76">
        <f>'3 - Demand Livestock'!I90</f>
        <v>0</v>
      </c>
      <c r="I114" s="76">
        <f>'3 - Demand Livestock'!K90</f>
        <v>0</v>
      </c>
      <c r="J114" s="76">
        <f>'3 - Demand Livestock'!M90</f>
        <v>0</v>
      </c>
      <c r="K114" s="76">
        <f>'3 - Demand Livestock'!O90</f>
        <v>0</v>
      </c>
      <c r="L114" s="76">
        <f>'3 - Demand Livestock'!Q90</f>
        <v>0</v>
      </c>
      <c r="M114" s="78"/>
      <c r="N114" s="1066">
        <f>'3 - Demand Livestock'!T90</f>
        <v>0</v>
      </c>
      <c r="O114" s="1067"/>
      <c r="P114" s="18"/>
      <c r="Q114" s="40"/>
      <c r="R114" s="40"/>
      <c r="S114" s="40"/>
    </row>
    <row r="115" spans="1:21" ht="15" customHeight="1" x14ac:dyDescent="0.25">
      <c r="F115" s="13"/>
      <c r="G115" s="14"/>
      <c r="H115" s="79"/>
      <c r="I115" s="14"/>
      <c r="J115" s="53"/>
      <c r="K115" s="78"/>
      <c r="L115" s="53"/>
      <c r="M115" s="78"/>
      <c r="N115" s="53"/>
      <c r="O115" s="78"/>
      <c r="P115" s="65"/>
      <c r="Q115" s="40"/>
      <c r="R115" s="40"/>
      <c r="S115" s="40"/>
    </row>
    <row r="116" spans="1:21" ht="15" customHeight="1" x14ac:dyDescent="0.25">
      <c r="F116" s="13"/>
      <c r="G116" s="14"/>
      <c r="H116" s="15"/>
      <c r="I116" s="14"/>
      <c r="J116" s="14"/>
      <c r="K116" s="14"/>
      <c r="L116" s="14"/>
      <c r="M116" s="14"/>
      <c r="N116" s="14"/>
      <c r="O116" s="14"/>
      <c r="P116" s="18"/>
      <c r="Q116" s="40"/>
      <c r="R116" s="40"/>
      <c r="S116" s="40"/>
    </row>
    <row r="117" spans="1:21" ht="15" customHeight="1" x14ac:dyDescent="0.25">
      <c r="F117" s="13"/>
      <c r="G117" s="14"/>
      <c r="H117" s="15"/>
      <c r="I117" s="14"/>
      <c r="J117" s="969" t="s">
        <v>74</v>
      </c>
      <c r="K117" s="1064"/>
      <c r="L117" s="1064"/>
      <c r="M117" s="1065"/>
      <c r="N117" s="78"/>
      <c r="O117" s="14"/>
      <c r="P117" s="18"/>
      <c r="Q117" s="40"/>
      <c r="R117" s="40"/>
      <c r="S117" s="40"/>
    </row>
    <row r="118" spans="1:21" ht="15" customHeight="1" x14ac:dyDescent="0.25">
      <c r="F118" s="13"/>
      <c r="G118" s="14"/>
      <c r="H118" s="15"/>
      <c r="I118" s="14"/>
      <c r="J118" s="970" t="s">
        <v>24</v>
      </c>
      <c r="K118" s="1079"/>
      <c r="L118" s="1079"/>
      <c r="M118" s="1080"/>
      <c r="N118" s="78"/>
      <c r="O118" s="14"/>
      <c r="P118" s="18"/>
      <c r="Q118" s="40"/>
      <c r="R118" s="40"/>
      <c r="S118" s="40"/>
    </row>
    <row r="119" spans="1:21" ht="15" customHeight="1" x14ac:dyDescent="0.25">
      <c r="F119" s="13"/>
      <c r="G119" s="14"/>
      <c r="H119" s="15"/>
      <c r="I119" s="14"/>
      <c r="J119" s="1095" t="s">
        <v>234</v>
      </c>
      <c r="K119" s="1118"/>
      <c r="L119" s="1116" t="s">
        <v>112</v>
      </c>
      <c r="M119" s="1117"/>
      <c r="N119" s="78"/>
      <c r="O119" s="14"/>
      <c r="P119" s="18"/>
      <c r="Q119" s="40"/>
      <c r="R119" s="40"/>
      <c r="S119" s="40"/>
    </row>
    <row r="120" spans="1:21" ht="15" customHeight="1" x14ac:dyDescent="0.25">
      <c r="F120" s="13"/>
      <c r="G120" s="14"/>
      <c r="H120" s="19" t="s">
        <v>0</v>
      </c>
      <c r="I120" s="14"/>
      <c r="J120" s="78"/>
      <c r="K120" s="78"/>
      <c r="L120" s="78"/>
      <c r="M120" s="78"/>
      <c r="N120" s="78"/>
      <c r="O120" s="14"/>
      <c r="P120" s="18"/>
      <c r="Q120" s="40"/>
      <c r="R120" s="40"/>
      <c r="S120" s="40"/>
    </row>
    <row r="121" spans="1:21" ht="15" customHeight="1" x14ac:dyDescent="0.25">
      <c r="F121" s="13"/>
      <c r="G121" s="14"/>
      <c r="H121" s="9">
        <f>'3 - Demand Livestock'!F95</f>
        <v>2013</v>
      </c>
      <c r="I121" s="23"/>
      <c r="J121" s="975">
        <f>'3 - Demand Livestock'!I95</f>
        <v>0</v>
      </c>
      <c r="K121" s="1119"/>
      <c r="L121" s="971" t="s">
        <v>28</v>
      </c>
      <c r="M121" s="1120"/>
      <c r="N121" s="78"/>
      <c r="O121" s="14"/>
      <c r="P121" s="18"/>
      <c r="Q121" s="40"/>
      <c r="R121" s="40"/>
      <c r="S121" s="40"/>
    </row>
    <row r="122" spans="1:21" ht="15" customHeight="1" x14ac:dyDescent="0.25">
      <c r="F122" s="13"/>
      <c r="G122" s="14"/>
      <c r="H122" s="26"/>
      <c r="I122" s="29"/>
      <c r="J122" s="1083">
        <f>'3 - Demand Livestock'!I96</f>
        <v>0</v>
      </c>
      <c r="K122" s="1084"/>
      <c r="L122" s="1085" t="s">
        <v>5</v>
      </c>
      <c r="M122" s="1086"/>
      <c r="N122" s="78"/>
      <c r="O122" s="14"/>
      <c r="P122" s="18"/>
      <c r="Q122" s="40"/>
      <c r="R122" s="40"/>
      <c r="S122" s="40"/>
    </row>
    <row r="123" spans="1:21" ht="15" customHeight="1" x14ac:dyDescent="0.25">
      <c r="F123" s="13"/>
      <c r="G123" s="14"/>
      <c r="H123" s="9">
        <f>'3 - Demand Livestock'!F97</f>
        <v>2023</v>
      </c>
      <c r="I123" s="23"/>
      <c r="J123" s="975">
        <f>'3 - Demand Livestock'!I97</f>
        <v>0</v>
      </c>
      <c r="K123" s="1119"/>
      <c r="L123" s="971" t="s">
        <v>28</v>
      </c>
      <c r="M123" s="1120"/>
      <c r="N123" s="78"/>
      <c r="O123" s="14"/>
      <c r="P123" s="18"/>
      <c r="Q123" s="40"/>
      <c r="R123" s="40"/>
      <c r="S123" s="40"/>
    </row>
    <row r="124" spans="1:21" ht="15" customHeight="1" x14ac:dyDescent="0.25">
      <c r="F124" s="13"/>
      <c r="G124" s="14"/>
      <c r="H124" s="26"/>
      <c r="I124" s="29"/>
      <c r="J124" s="1083">
        <f>'3 - Demand Livestock'!I98</f>
        <v>0</v>
      </c>
      <c r="K124" s="1097"/>
      <c r="L124" s="1085" t="s">
        <v>5</v>
      </c>
      <c r="M124" s="1098"/>
      <c r="N124" s="78"/>
      <c r="O124" s="14"/>
      <c r="P124" s="18"/>
      <c r="Q124" s="40"/>
      <c r="R124" s="40"/>
      <c r="S124" s="40"/>
    </row>
    <row r="125" spans="1:21" ht="15" customHeight="1" x14ac:dyDescent="0.25">
      <c r="F125" s="13"/>
      <c r="G125" s="14"/>
      <c r="H125" s="9">
        <f>'3 - Demand Livestock'!F99</f>
        <v>2033</v>
      </c>
      <c r="I125" s="23"/>
      <c r="J125" s="975">
        <f>'3 - Demand Livestock'!I99</f>
        <v>0</v>
      </c>
      <c r="K125" s="1123"/>
      <c r="L125" s="971" t="s">
        <v>28</v>
      </c>
      <c r="M125" s="1120"/>
      <c r="N125" s="78"/>
      <c r="O125" s="14"/>
      <c r="P125" s="18"/>
      <c r="Q125" s="40"/>
      <c r="R125" s="40"/>
      <c r="S125" s="40"/>
    </row>
    <row r="126" spans="1:21" x14ac:dyDescent="0.25">
      <c r="F126" s="13"/>
      <c r="G126" s="14"/>
      <c r="H126" s="26"/>
      <c r="I126" s="32"/>
      <c r="J126" s="977">
        <f>'3 - Demand Livestock'!I100</f>
        <v>0</v>
      </c>
      <c r="K126" s="1099"/>
      <c r="L126" s="973" t="s">
        <v>5</v>
      </c>
      <c r="M126" s="1107"/>
      <c r="N126" s="78"/>
      <c r="O126" s="14"/>
      <c r="P126" s="18"/>
    </row>
    <row r="127" spans="1:21" x14ac:dyDescent="0.25">
      <c r="A127" s="38"/>
      <c r="B127" s="38"/>
      <c r="C127" s="38"/>
      <c r="D127" s="38"/>
      <c r="F127" s="13"/>
      <c r="G127" s="14"/>
      <c r="H127" s="14"/>
      <c r="I127" s="14"/>
      <c r="J127" s="213"/>
      <c r="K127" s="55"/>
      <c r="L127" s="52"/>
      <c r="M127" s="36"/>
      <c r="N127" s="78"/>
      <c r="O127" s="14"/>
      <c r="P127" s="18"/>
    </row>
    <row r="128" spans="1:21" x14ac:dyDescent="0.25">
      <c r="A128" s="38"/>
      <c r="B128" s="38"/>
      <c r="C128" s="38"/>
      <c r="D128" s="219"/>
      <c r="E128" s="40"/>
      <c r="F128" s="40"/>
      <c r="G128" s="40"/>
      <c r="H128" s="40"/>
      <c r="I128" s="40"/>
      <c r="J128" s="88"/>
      <c r="K128" s="89"/>
      <c r="L128" s="90"/>
      <c r="M128" s="91"/>
      <c r="N128" s="73"/>
      <c r="O128" s="40"/>
      <c r="P128" s="40"/>
      <c r="Q128" s="40"/>
      <c r="R128" s="40"/>
      <c r="S128" s="40"/>
      <c r="T128" s="40"/>
      <c r="U128" s="40"/>
    </row>
    <row r="129" spans="1:22" x14ac:dyDescent="0.25">
      <c r="A129" s="38"/>
      <c r="B129" s="38"/>
      <c r="C129" s="38"/>
      <c r="D129" s="219"/>
      <c r="E129" s="40"/>
      <c r="F129" s="40"/>
      <c r="G129" s="40"/>
      <c r="H129" s="40"/>
      <c r="I129" s="40"/>
      <c r="J129" s="88"/>
      <c r="K129" s="89"/>
      <c r="L129" s="90"/>
      <c r="M129" s="91"/>
      <c r="N129" s="73"/>
      <c r="O129" s="40"/>
      <c r="P129" s="40"/>
      <c r="Q129" s="40"/>
      <c r="R129" s="40"/>
      <c r="S129" s="40"/>
      <c r="T129" s="40"/>
      <c r="U129" s="40"/>
    </row>
    <row r="130" spans="1:22" x14ac:dyDescent="0.25">
      <c r="A130" s="374"/>
      <c r="B130" s="375" t="s">
        <v>91</v>
      </c>
      <c r="C130" s="375"/>
      <c r="D130" s="219"/>
      <c r="E130" s="40"/>
      <c r="F130" s="9"/>
      <c r="G130" s="10"/>
      <c r="H130" s="10"/>
      <c r="I130" s="214"/>
      <c r="J130" s="58"/>
      <c r="K130" s="215"/>
      <c r="L130" s="216"/>
      <c r="M130" s="217"/>
      <c r="N130" s="10"/>
      <c r="O130" s="10"/>
      <c r="P130" s="10"/>
      <c r="Q130" s="10"/>
      <c r="R130" s="12"/>
      <c r="S130" s="40"/>
      <c r="T130" s="40"/>
      <c r="U130" s="40"/>
    </row>
    <row r="131" spans="1:22" ht="15" customHeight="1" x14ac:dyDescent="0.25">
      <c r="A131" s="38"/>
      <c r="B131" s="38"/>
      <c r="C131" s="38"/>
      <c r="D131" s="219"/>
      <c r="E131" s="40"/>
      <c r="F131" s="13"/>
      <c r="G131" s="15"/>
      <c r="H131" s="14"/>
      <c r="I131" s="969" t="s">
        <v>74</v>
      </c>
      <c r="J131" s="966"/>
      <c r="K131" s="966"/>
      <c r="L131" s="966"/>
      <c r="M131" s="966"/>
      <c r="N131" s="966"/>
      <c r="O131" s="966"/>
      <c r="P131" s="966"/>
      <c r="Q131" s="830"/>
      <c r="R131" s="225"/>
      <c r="S131" s="222"/>
      <c r="T131" s="222"/>
      <c r="U131" s="40"/>
    </row>
    <row r="132" spans="1:22" x14ac:dyDescent="0.25">
      <c r="A132" s="374"/>
      <c r="B132" s="376" t="s">
        <v>124</v>
      </c>
      <c r="C132" s="375"/>
      <c r="D132" s="453"/>
      <c r="E132" s="40"/>
      <c r="F132" s="13"/>
      <c r="G132" s="15"/>
      <c r="H132" s="14"/>
      <c r="I132" s="970" t="s">
        <v>24</v>
      </c>
      <c r="J132" s="966"/>
      <c r="K132" s="966"/>
      <c r="L132" s="966"/>
      <c r="M132" s="966"/>
      <c r="N132" s="966"/>
      <c r="O132" s="966"/>
      <c r="P132" s="966"/>
      <c r="Q132" s="830"/>
      <c r="R132" s="16"/>
      <c r="S132" s="17"/>
      <c r="T132" s="17"/>
      <c r="U132" s="40"/>
    </row>
    <row r="133" spans="1:22" ht="15" customHeight="1" x14ac:dyDescent="0.25">
      <c r="A133" s="38"/>
      <c r="B133" s="38"/>
      <c r="C133" s="38"/>
      <c r="D133" s="219"/>
      <c r="E133" s="40"/>
      <c r="F133" s="13"/>
      <c r="G133" s="15"/>
      <c r="H133" s="14"/>
      <c r="I133" s="81" t="s">
        <v>110</v>
      </c>
      <c r="J133" s="82" t="s">
        <v>109</v>
      </c>
      <c r="K133" s="227"/>
      <c r="L133" s="81" t="s">
        <v>108</v>
      </c>
      <c r="M133" s="218" t="s">
        <v>107</v>
      </c>
      <c r="N133" s="228"/>
      <c r="O133" s="81" t="s">
        <v>111</v>
      </c>
      <c r="P133" s="92" t="s">
        <v>112</v>
      </c>
      <c r="Q133" s="227"/>
      <c r="R133" s="226"/>
      <c r="S133" s="40"/>
      <c r="T133" s="223"/>
      <c r="U133" s="40"/>
    </row>
    <row r="134" spans="1:22" x14ac:dyDescent="0.25">
      <c r="A134" s="38"/>
      <c r="B134" s="38"/>
      <c r="C134" s="38"/>
      <c r="D134" s="219"/>
      <c r="E134" s="40"/>
      <c r="F134" s="13"/>
      <c r="G134" s="19" t="s">
        <v>0</v>
      </c>
      <c r="H134" s="14"/>
      <c r="I134" s="78"/>
      <c r="J134" s="78"/>
      <c r="K134" s="78"/>
      <c r="L134" s="78"/>
      <c r="M134" s="78"/>
      <c r="N134" s="78"/>
      <c r="O134" s="78"/>
      <c r="P134" s="78"/>
      <c r="Q134" s="78"/>
      <c r="R134" s="72"/>
      <c r="S134" s="73"/>
      <c r="T134" s="73"/>
      <c r="U134" s="40"/>
    </row>
    <row r="135" spans="1:22" ht="15" customHeight="1" x14ac:dyDescent="0.25">
      <c r="A135" s="38"/>
      <c r="B135" s="38"/>
      <c r="C135" s="38"/>
      <c r="D135" s="1138"/>
      <c r="E135" s="1139"/>
      <c r="F135" s="13"/>
      <c r="G135" s="9">
        <f>H78</f>
        <v>2013</v>
      </c>
      <c r="H135" s="220"/>
      <c r="I135" s="975">
        <f t="shared" ref="I135:I140" si="0">J78</f>
        <v>845265.90934757818</v>
      </c>
      <c r="J135" s="850"/>
      <c r="K135" s="25" t="s">
        <v>28</v>
      </c>
      <c r="L135" s="975">
        <f t="shared" ref="L135:L140" si="1">J100</f>
        <v>0</v>
      </c>
      <c r="M135" s="850">
        <f t="shared" ref="M135:M140" si="2">J100</f>
        <v>0</v>
      </c>
      <c r="N135" s="25" t="s">
        <v>28</v>
      </c>
      <c r="O135" s="975">
        <f t="shared" ref="O135:O140" si="3">J121</f>
        <v>0</v>
      </c>
      <c r="P135" s="850">
        <f t="shared" ref="P135:P140" si="4">J121</f>
        <v>0</v>
      </c>
      <c r="Q135" s="25" t="s">
        <v>28</v>
      </c>
      <c r="R135" s="18"/>
      <c r="S135" s="40"/>
      <c r="T135" s="224"/>
      <c r="U135" s="40"/>
    </row>
    <row r="136" spans="1:22" ht="15" customHeight="1" x14ac:dyDescent="0.25">
      <c r="A136" s="38"/>
      <c r="B136" s="38"/>
      <c r="C136" s="38"/>
      <c r="D136" s="40"/>
      <c r="E136" s="40"/>
      <c r="F136" s="13"/>
      <c r="G136" s="26"/>
      <c r="H136" s="221"/>
      <c r="I136" s="977">
        <f t="shared" si="0"/>
        <v>845.26590934757826</v>
      </c>
      <c r="J136" s="856"/>
      <c r="K136" s="31" t="s">
        <v>5</v>
      </c>
      <c r="L136" s="977">
        <f t="shared" si="1"/>
        <v>0</v>
      </c>
      <c r="M136" s="856">
        <f t="shared" si="2"/>
        <v>0</v>
      </c>
      <c r="N136" s="31" t="s">
        <v>5</v>
      </c>
      <c r="O136" s="977">
        <f t="shared" si="3"/>
        <v>0</v>
      </c>
      <c r="P136" s="856">
        <f t="shared" si="4"/>
        <v>0</v>
      </c>
      <c r="Q136" s="31" t="s">
        <v>5</v>
      </c>
      <c r="R136" s="18"/>
      <c r="S136" s="40"/>
      <c r="T136" s="90"/>
      <c r="U136" s="40"/>
    </row>
    <row r="137" spans="1:22" ht="15" customHeight="1" x14ac:dyDescent="0.25">
      <c r="A137" s="38"/>
      <c r="B137" s="38"/>
      <c r="C137" s="38"/>
      <c r="D137" s="219"/>
      <c r="E137" s="40"/>
      <c r="F137" s="13"/>
      <c r="G137" s="9">
        <f>H80</f>
        <v>2023</v>
      </c>
      <c r="H137" s="220"/>
      <c r="I137" s="975">
        <f t="shared" si="0"/>
        <v>1135966.7004734138</v>
      </c>
      <c r="J137" s="850">
        <f>J80</f>
        <v>1135966.7004734138</v>
      </c>
      <c r="K137" s="25" t="s">
        <v>28</v>
      </c>
      <c r="L137" s="975">
        <f t="shared" si="1"/>
        <v>0</v>
      </c>
      <c r="M137" s="850">
        <f t="shared" si="2"/>
        <v>0</v>
      </c>
      <c r="N137" s="25" t="s">
        <v>28</v>
      </c>
      <c r="O137" s="975">
        <f t="shared" si="3"/>
        <v>0</v>
      </c>
      <c r="P137" s="850">
        <f t="shared" si="4"/>
        <v>0</v>
      </c>
      <c r="Q137" s="25" t="s">
        <v>28</v>
      </c>
      <c r="R137" s="18"/>
      <c r="S137" s="40"/>
      <c r="T137" s="224"/>
      <c r="U137" s="40"/>
    </row>
    <row r="138" spans="1:22" ht="15" customHeight="1" x14ac:dyDescent="0.25">
      <c r="A138" s="38"/>
      <c r="B138" s="38"/>
      <c r="C138" s="38"/>
      <c r="D138" s="219"/>
      <c r="E138" s="40"/>
      <c r="F138" s="13"/>
      <c r="G138" s="26"/>
      <c r="H138" s="221"/>
      <c r="I138" s="977">
        <f t="shared" si="0"/>
        <v>1135.9667004734138</v>
      </c>
      <c r="J138" s="856">
        <f>J81</f>
        <v>1135.9667004734138</v>
      </c>
      <c r="K138" s="31" t="s">
        <v>5</v>
      </c>
      <c r="L138" s="977">
        <f t="shared" si="1"/>
        <v>0</v>
      </c>
      <c r="M138" s="856">
        <f t="shared" si="2"/>
        <v>0</v>
      </c>
      <c r="N138" s="31" t="s">
        <v>5</v>
      </c>
      <c r="O138" s="977">
        <f t="shared" si="3"/>
        <v>0</v>
      </c>
      <c r="P138" s="856">
        <f t="shared" si="4"/>
        <v>0</v>
      </c>
      <c r="Q138" s="31" t="s">
        <v>5</v>
      </c>
      <c r="R138" s="18"/>
      <c r="S138" s="40"/>
      <c r="T138" s="90"/>
      <c r="U138" s="40"/>
    </row>
    <row r="139" spans="1:22" ht="15" customHeight="1" x14ac:dyDescent="0.25">
      <c r="A139" s="38"/>
      <c r="B139" s="38"/>
      <c r="C139" s="38"/>
      <c r="D139" s="219"/>
      <c r="E139" s="40"/>
      <c r="F139" s="13"/>
      <c r="G139" s="9">
        <f>H82</f>
        <v>2033</v>
      </c>
      <c r="H139" s="220"/>
      <c r="I139" s="975">
        <f t="shared" si="0"/>
        <v>1526644.2551557184</v>
      </c>
      <c r="J139" s="850">
        <f>J82</f>
        <v>1526644.2551557184</v>
      </c>
      <c r="K139" s="25" t="s">
        <v>28</v>
      </c>
      <c r="L139" s="975">
        <f t="shared" si="1"/>
        <v>0</v>
      </c>
      <c r="M139" s="850">
        <f t="shared" si="2"/>
        <v>0</v>
      </c>
      <c r="N139" s="25" t="s">
        <v>28</v>
      </c>
      <c r="O139" s="975">
        <f t="shared" si="3"/>
        <v>0</v>
      </c>
      <c r="P139" s="850">
        <f t="shared" si="4"/>
        <v>0</v>
      </c>
      <c r="Q139" s="25" t="s">
        <v>28</v>
      </c>
      <c r="R139" s="18"/>
      <c r="S139" s="40"/>
      <c r="T139" s="224"/>
      <c r="U139" s="40"/>
    </row>
    <row r="140" spans="1:22" ht="15" customHeight="1" x14ac:dyDescent="0.25">
      <c r="A140" s="38"/>
      <c r="B140" s="38"/>
      <c r="C140" s="38"/>
      <c r="D140" s="219"/>
      <c r="E140" s="40"/>
      <c r="F140" s="13"/>
      <c r="G140" s="26"/>
      <c r="H140" s="37"/>
      <c r="I140" s="977">
        <f t="shared" si="0"/>
        <v>1526.6442551557184</v>
      </c>
      <c r="J140" s="856">
        <f>J83</f>
        <v>1526.6442551557184</v>
      </c>
      <c r="K140" s="31" t="s">
        <v>5</v>
      </c>
      <c r="L140" s="977">
        <f t="shared" si="1"/>
        <v>0</v>
      </c>
      <c r="M140" s="856">
        <f t="shared" si="2"/>
        <v>0</v>
      </c>
      <c r="N140" s="31" t="s">
        <v>5</v>
      </c>
      <c r="O140" s="977">
        <f t="shared" si="3"/>
        <v>0</v>
      </c>
      <c r="P140" s="856">
        <f t="shared" si="4"/>
        <v>0</v>
      </c>
      <c r="Q140" s="31" t="s">
        <v>5</v>
      </c>
      <c r="R140" s="18"/>
      <c r="S140" s="40"/>
      <c r="T140" s="90"/>
      <c r="U140" s="40"/>
    </row>
    <row r="141" spans="1:22" x14ac:dyDescent="0.25">
      <c r="A141" s="38"/>
      <c r="B141" s="38"/>
      <c r="C141" s="38"/>
      <c r="D141" s="219"/>
      <c r="E141" s="40"/>
      <c r="F141" s="26"/>
      <c r="G141" s="32"/>
      <c r="H141" s="32"/>
      <c r="I141" s="83"/>
      <c r="J141" s="32"/>
      <c r="K141" s="85"/>
      <c r="L141" s="86"/>
      <c r="M141" s="32"/>
      <c r="N141" s="32"/>
      <c r="O141" s="32"/>
      <c r="P141" s="32"/>
      <c r="Q141" s="87"/>
      <c r="R141" s="37"/>
      <c r="S141" s="40"/>
      <c r="T141" s="40"/>
      <c r="U141" s="40"/>
    </row>
    <row r="142" spans="1:22" x14ac:dyDescent="0.25">
      <c r="A142" s="38"/>
      <c r="B142" s="38"/>
      <c r="C142" s="38"/>
      <c r="D142" s="219"/>
      <c r="E142" s="40"/>
      <c r="F142" s="40"/>
      <c r="G142" s="40"/>
      <c r="H142" s="40"/>
      <c r="I142" s="88"/>
      <c r="J142" s="40"/>
      <c r="K142" s="90"/>
      <c r="L142" s="91"/>
      <c r="M142" s="40"/>
      <c r="N142" s="40"/>
      <c r="O142" s="40"/>
      <c r="P142" s="40"/>
      <c r="Q142" s="423"/>
      <c r="R142" s="40"/>
      <c r="S142" s="40"/>
      <c r="T142" s="40"/>
      <c r="U142" s="40"/>
    </row>
    <row r="143" spans="1:22" x14ac:dyDescent="0.25">
      <c r="A143" s="38"/>
      <c r="B143" s="67"/>
      <c r="D143" s="38"/>
      <c r="F143" s="40"/>
      <c r="G143" s="40"/>
      <c r="H143" s="40"/>
      <c r="I143" s="40"/>
      <c r="J143" s="88"/>
      <c r="K143" s="89"/>
      <c r="L143" s="90"/>
      <c r="M143" s="91"/>
      <c r="N143" s="423"/>
      <c r="O143" s="40"/>
      <c r="P143" s="40"/>
      <c r="Q143" s="40"/>
      <c r="R143" s="40"/>
      <c r="S143" s="40"/>
      <c r="T143" s="40"/>
      <c r="U143" s="40"/>
      <c r="V143" s="40"/>
    </row>
    <row r="144" spans="1:22" x14ac:dyDescent="0.25">
      <c r="A144" s="544" t="s">
        <v>106</v>
      </c>
      <c r="B144" s="363"/>
      <c r="C144" s="364"/>
      <c r="D144" s="362"/>
      <c r="F144" s="9"/>
      <c r="G144" s="10"/>
      <c r="H144" s="10"/>
      <c r="I144" s="11"/>
      <c r="J144" s="10"/>
      <c r="K144" s="10"/>
      <c r="L144" s="10"/>
      <c r="M144" s="10"/>
      <c r="N144" s="10"/>
      <c r="O144" s="10"/>
      <c r="P144" s="10"/>
      <c r="Q144" s="12"/>
      <c r="R144" s="40"/>
      <c r="S144" s="40"/>
      <c r="T144" s="40"/>
      <c r="U144" s="40"/>
      <c r="V144" s="40"/>
    </row>
    <row r="145" spans="1:22" x14ac:dyDescent="0.25">
      <c r="A145" s="38"/>
      <c r="B145" s="67"/>
      <c r="D145" s="38"/>
      <c r="F145" s="13"/>
      <c r="G145" s="60" t="s">
        <v>70</v>
      </c>
      <c r="H145" s="14"/>
      <c r="I145" s="426" t="s">
        <v>210</v>
      </c>
      <c r="J145" s="424">
        <f>'4 - Demand Agriculture'!K10</f>
        <v>8.5</v>
      </c>
      <c r="K145" s="425" t="s">
        <v>84</v>
      </c>
      <c r="L145" s="14"/>
      <c r="M145" s="61"/>
      <c r="N145" s="14"/>
      <c r="O145" s="424"/>
      <c r="P145" s="424"/>
      <c r="Q145" s="456"/>
      <c r="R145" s="40"/>
      <c r="S145" s="40"/>
      <c r="T145" s="40"/>
      <c r="U145" s="40"/>
      <c r="V145" s="40"/>
    </row>
    <row r="146" spans="1:22" x14ac:dyDescent="0.25">
      <c r="A146" s="38"/>
      <c r="B146" s="67"/>
      <c r="D146" s="38"/>
      <c r="F146" s="13"/>
      <c r="G146" s="14"/>
      <c r="H146" s="14"/>
      <c r="I146" s="424"/>
      <c r="J146" s="424"/>
      <c r="K146" s="425"/>
      <c r="L146" s="14"/>
      <c r="M146" s="15"/>
      <c r="N146" s="14"/>
      <c r="O146" s="417"/>
      <c r="P146" s="417"/>
      <c r="Q146" s="72"/>
      <c r="R146" s="40"/>
      <c r="S146" s="40"/>
      <c r="T146" s="40"/>
      <c r="U146" s="40"/>
      <c r="V146" s="40"/>
    </row>
    <row r="147" spans="1:22" x14ac:dyDescent="0.25">
      <c r="A147" s="38"/>
      <c r="B147" s="67"/>
      <c r="D147" s="38"/>
      <c r="F147" s="13"/>
      <c r="G147" s="60" t="s">
        <v>71</v>
      </c>
      <c r="H147" s="14"/>
      <c r="I147" s="1070" t="s">
        <v>211</v>
      </c>
      <c r="J147" s="837"/>
      <c r="K147" s="1070" t="s">
        <v>212</v>
      </c>
      <c r="L147" s="825"/>
      <c r="M147" s="1070" t="s">
        <v>62</v>
      </c>
      <c r="N147" s="825"/>
      <c r="O147" s="1070" t="s">
        <v>63</v>
      </c>
      <c r="P147" s="825"/>
      <c r="Q147" s="456"/>
      <c r="R147" s="40"/>
      <c r="S147" s="40"/>
      <c r="T147" s="40"/>
      <c r="U147" s="40"/>
      <c r="V147" s="40"/>
    </row>
    <row r="148" spans="1:22" x14ac:dyDescent="0.25">
      <c r="A148" s="38"/>
      <c r="B148" s="67"/>
      <c r="D148" s="38"/>
      <c r="F148" s="13"/>
      <c r="G148" s="14"/>
      <c r="H148" s="14"/>
      <c r="I148" s="842"/>
      <c r="J148" s="843"/>
      <c r="K148" s="1071" t="s">
        <v>213</v>
      </c>
      <c r="L148" s="827"/>
      <c r="M148" s="826"/>
      <c r="N148" s="827"/>
      <c r="O148" s="826"/>
      <c r="P148" s="827"/>
      <c r="Q148" s="18"/>
      <c r="R148" s="40"/>
      <c r="S148" s="40"/>
      <c r="T148" s="40"/>
      <c r="U148" s="40"/>
      <c r="V148" s="40"/>
    </row>
    <row r="149" spans="1:22" x14ac:dyDescent="0.25">
      <c r="A149" s="38"/>
      <c r="B149" s="67"/>
      <c r="D149" s="38"/>
      <c r="F149" s="1147" t="s">
        <v>235</v>
      </c>
      <c r="G149" s="840"/>
      <c r="H149" s="841"/>
      <c r="I149" s="1056" t="str">
        <f>'4 - Demand Agriculture'!A56</f>
        <v>Beans</v>
      </c>
      <c r="J149" s="825"/>
      <c r="K149" s="1042" t="str">
        <f>IF('4 - Demand Agriculture'!G25&lt;1," ",'4 - Demand Agriculture'!G25)</f>
        <v xml:space="preserve"> </v>
      </c>
      <c r="L149" s="825"/>
      <c r="M149" s="1042" t="str">
        <f>IF('4 - Demand Agriculture'!V41&lt;1,"",'4 - Demand Agriculture'!V41)</f>
        <v/>
      </c>
      <c r="N149" s="880"/>
      <c r="O149" s="1042" t="str">
        <f>IF('4 - Demand Agriculture'!W41&lt;1,"",'4 - Demand Agriculture'!W41)</f>
        <v/>
      </c>
      <c r="P149" s="825"/>
      <c r="Q149" s="18"/>
      <c r="R149" s="40"/>
      <c r="S149" s="40"/>
      <c r="T149" s="40"/>
      <c r="U149" s="40"/>
      <c r="V149" s="40"/>
    </row>
    <row r="150" spans="1:22" ht="15" customHeight="1" x14ac:dyDescent="0.25">
      <c r="A150" s="38"/>
      <c r="B150" s="67"/>
      <c r="D150" s="38"/>
      <c r="F150" s="839"/>
      <c r="G150" s="840"/>
      <c r="H150" s="841"/>
      <c r="I150" s="1063" t="str">
        <f>'4 - Demand Agriculture'!A57</f>
        <v>Cabbage</v>
      </c>
      <c r="J150" s="1057"/>
      <c r="K150" s="1039" t="str">
        <f>IF('4 - Demand Agriculture'!G26&lt;1," ",'4 - Demand Agriculture'!G26)</f>
        <v xml:space="preserve"> </v>
      </c>
      <c r="L150" s="1057"/>
      <c r="M150" s="1039" t="str">
        <f>IF('4 - Demand Agriculture'!V42&lt;1,"",'4 - Demand Agriculture'!V42)</f>
        <v/>
      </c>
      <c r="N150" s="1040"/>
      <c r="O150" s="1039" t="str">
        <f>IF('4 - Demand Agriculture'!W42&lt;1,"",'4 - Demand Agriculture'!W42)</f>
        <v/>
      </c>
      <c r="P150" s="1057"/>
      <c r="Q150" s="18"/>
      <c r="R150" s="40"/>
      <c r="S150" s="40"/>
      <c r="T150" s="40"/>
      <c r="U150" s="40"/>
      <c r="V150" s="40"/>
    </row>
    <row r="151" spans="1:22" x14ac:dyDescent="0.25">
      <c r="A151" s="38"/>
      <c r="B151" s="67"/>
      <c r="D151" s="38"/>
      <c r="F151" s="839"/>
      <c r="G151" s="840"/>
      <c r="H151" s="841"/>
      <c r="I151" s="1063" t="str">
        <f>'4 - Demand Agriculture'!A58</f>
        <v>Groundnut</v>
      </c>
      <c r="J151" s="1057"/>
      <c r="K151" s="1039" t="str">
        <f>IF('4 - Demand Agriculture'!G27&lt;1," ",'4 - Demand Agriculture'!G27)</f>
        <v xml:space="preserve"> </v>
      </c>
      <c r="L151" s="1057"/>
      <c r="M151" s="1039" t="str">
        <f>IF('4 - Demand Agriculture'!V43&lt;1,"",'4 - Demand Agriculture'!V43)</f>
        <v/>
      </c>
      <c r="N151" s="1040"/>
      <c r="O151" s="1039" t="str">
        <f>IF('4 - Demand Agriculture'!W43&lt;1,"",'4 - Demand Agriculture'!W43)</f>
        <v/>
      </c>
      <c r="P151" s="1057"/>
      <c r="Q151" s="18"/>
      <c r="R151" s="40"/>
      <c r="S151" s="40"/>
      <c r="T151" s="40"/>
      <c r="U151" s="40"/>
      <c r="V151" s="40"/>
    </row>
    <row r="152" spans="1:22" x14ac:dyDescent="0.25">
      <c r="A152" s="38"/>
      <c r="B152" s="67"/>
      <c r="D152" s="38"/>
      <c r="F152" s="839"/>
      <c r="G152" s="840"/>
      <c r="H152" s="841"/>
      <c r="I152" s="1063" t="str">
        <f>'4 - Demand Agriculture'!A59</f>
        <v>Maize</v>
      </c>
      <c r="J152" s="1057"/>
      <c r="K152" s="1039">
        <f>IF('4 - Demand Agriculture'!G28&lt;1," ",'4 - Demand Agriculture'!G28)</f>
        <v>90</v>
      </c>
      <c r="L152" s="1057"/>
      <c r="M152" s="1039" t="str">
        <f>IF('4 - Demand Agriculture'!V44&lt;1,"",'4 - Demand Agriculture'!V44)</f>
        <v>July</v>
      </c>
      <c r="N152" s="1040"/>
      <c r="O152" s="1039" t="str">
        <f>IF('4 - Demand Agriculture'!W44&lt;1,"",'4 - Demand Agriculture'!W44)</f>
        <v>January</v>
      </c>
      <c r="P152" s="1057"/>
      <c r="Q152" s="65"/>
      <c r="R152" s="54"/>
      <c r="S152" s="40"/>
      <c r="T152" s="40"/>
      <c r="U152" s="40"/>
      <c r="V152" s="40"/>
    </row>
    <row r="153" spans="1:22" x14ac:dyDescent="0.25">
      <c r="A153" s="38"/>
      <c r="B153" s="67"/>
      <c r="D153" s="38"/>
      <c r="F153" s="839"/>
      <c r="G153" s="840"/>
      <c r="H153" s="841"/>
      <c r="I153" s="1063" t="str">
        <f>'4 - Demand Agriculture'!A60</f>
        <v>Melon</v>
      </c>
      <c r="J153" s="1057"/>
      <c r="K153" s="1039" t="str">
        <f>IF('4 - Demand Agriculture'!G29&lt;1," ",'4 - Demand Agriculture'!G29)</f>
        <v xml:space="preserve"> </v>
      </c>
      <c r="L153" s="1057"/>
      <c r="M153" s="1039" t="str">
        <f>IF('4 - Demand Agriculture'!V45&lt;1,"",'4 - Demand Agriculture'!V45)</f>
        <v/>
      </c>
      <c r="N153" s="1040"/>
      <c r="O153" s="1039" t="str">
        <f>IF('4 - Demand Agriculture'!W45&lt;1,"",'4 - Demand Agriculture'!W45)</f>
        <v/>
      </c>
      <c r="P153" s="1057"/>
      <c r="Q153" s="65"/>
      <c r="R153" s="54"/>
      <c r="S153" s="40"/>
      <c r="T153" s="40"/>
      <c r="U153" s="40"/>
      <c r="V153" s="40"/>
    </row>
    <row r="154" spans="1:22" x14ac:dyDescent="0.25">
      <c r="A154" s="38"/>
      <c r="B154" s="67"/>
      <c r="D154" s="38"/>
      <c r="F154" s="839"/>
      <c r="G154" s="840"/>
      <c r="H154" s="841"/>
      <c r="I154" s="1063" t="str">
        <f>'4 - Demand Agriculture'!A61</f>
        <v>Millet</v>
      </c>
      <c r="J154" s="1057"/>
      <c r="K154" s="1039" t="str">
        <f>IF('4 - Demand Agriculture'!G30&lt;1," ",'4 - Demand Agriculture'!G30)</f>
        <v xml:space="preserve"> </v>
      </c>
      <c r="L154" s="1057"/>
      <c r="M154" s="1039" t="str">
        <f>IF('4 - Demand Agriculture'!V46&lt;1,"",'4 - Demand Agriculture'!V46)</f>
        <v/>
      </c>
      <c r="N154" s="1040"/>
      <c r="O154" s="1039" t="str">
        <f>IF('4 - Demand Agriculture'!W46&lt;1,"",'4 - Demand Agriculture'!W46)</f>
        <v/>
      </c>
      <c r="P154" s="1057"/>
      <c r="Q154" s="65"/>
      <c r="R154" s="54"/>
      <c r="S154" s="40"/>
      <c r="T154" s="40"/>
      <c r="U154" s="40"/>
      <c r="V154" s="40"/>
    </row>
    <row r="155" spans="1:22" x14ac:dyDescent="0.25">
      <c r="A155" s="38"/>
      <c r="B155" s="67"/>
      <c r="D155" s="38"/>
      <c r="F155" s="839"/>
      <c r="G155" s="840"/>
      <c r="H155" s="841"/>
      <c r="I155" s="1063" t="str">
        <f>'4 - Demand Agriculture'!A62</f>
        <v>Onion dry</v>
      </c>
      <c r="J155" s="1057"/>
      <c r="K155" s="1039" t="str">
        <f>IF('4 - Demand Agriculture'!G31&lt;1," ",'4 - Demand Agriculture'!G31)</f>
        <v xml:space="preserve"> </v>
      </c>
      <c r="L155" s="1057"/>
      <c r="M155" s="1039" t="str">
        <f>IF('4 - Demand Agriculture'!V47&lt;1,"",'4 - Demand Agriculture'!V47)</f>
        <v/>
      </c>
      <c r="N155" s="1040"/>
      <c r="O155" s="1039" t="str">
        <f>IF('4 - Demand Agriculture'!W47&lt;1,"",'4 - Demand Agriculture'!W47)</f>
        <v/>
      </c>
      <c r="P155" s="1057"/>
      <c r="Q155" s="65"/>
      <c r="R155" s="54"/>
      <c r="S155" s="40"/>
      <c r="T155" s="40"/>
      <c r="U155" s="40"/>
      <c r="V155" s="40"/>
    </row>
    <row r="156" spans="1:22" x14ac:dyDescent="0.25">
      <c r="A156" s="38"/>
      <c r="B156" s="67"/>
      <c r="D156" s="38"/>
      <c r="F156" s="839"/>
      <c r="G156" s="840"/>
      <c r="H156" s="841"/>
      <c r="I156" s="1063" t="str">
        <f>'4 - Demand Agriculture'!A63</f>
        <v>Sorghum</v>
      </c>
      <c r="J156" s="1057"/>
      <c r="K156" s="1039">
        <f>IF('4 - Demand Agriculture'!G32&lt;1," ",'4 - Demand Agriculture'!G32)</f>
        <v>120</v>
      </c>
      <c r="L156" s="1057"/>
      <c r="M156" s="1039" t="str">
        <f>IF('4 - Demand Agriculture'!V48&lt;1,"",'4 - Demand Agriculture'!V48)</f>
        <v>July</v>
      </c>
      <c r="N156" s="1040"/>
      <c r="O156" s="1039" t="str">
        <f>IF('4 - Demand Agriculture'!W48&lt;1,"",'4 - Demand Agriculture'!W48)</f>
        <v>January</v>
      </c>
      <c r="P156" s="1057"/>
      <c r="Q156" s="65"/>
      <c r="R156" s="54"/>
      <c r="S156" s="40"/>
      <c r="T156" s="40"/>
      <c r="U156" s="40"/>
      <c r="V156" s="40"/>
    </row>
    <row r="157" spans="1:22" x14ac:dyDescent="0.25">
      <c r="A157" s="38"/>
      <c r="B157" s="67"/>
      <c r="D157" s="38"/>
      <c r="F157" s="839"/>
      <c r="G157" s="840"/>
      <c r="H157" s="841"/>
      <c r="I157" s="1063" t="str">
        <f>'4 - Demand Agriculture'!A64</f>
        <v>Spinach</v>
      </c>
      <c r="J157" s="1057"/>
      <c r="K157" s="1039">
        <f>IF('4 - Demand Agriculture'!G33&lt;1," ",'4 - Demand Agriculture'!G33)</f>
        <v>60</v>
      </c>
      <c r="L157" s="1057"/>
      <c r="M157" s="1039" t="str">
        <f>IF('4 - Demand Agriculture'!V49&lt;1,"",'4 - Demand Agriculture'!V49)</f>
        <v>July</v>
      </c>
      <c r="N157" s="1040"/>
      <c r="O157" s="1039" t="str">
        <f>IF('4 - Demand Agriculture'!W49&lt;1,"",'4 - Demand Agriculture'!W49)</f>
        <v>January</v>
      </c>
      <c r="P157" s="1057"/>
      <c r="Q157" s="65"/>
      <c r="R157" s="54"/>
      <c r="S157" s="40"/>
      <c r="T157" s="40"/>
      <c r="U157" s="40"/>
      <c r="V157" s="40"/>
    </row>
    <row r="158" spans="1:22" x14ac:dyDescent="0.25">
      <c r="A158" s="38"/>
      <c r="B158" s="67"/>
      <c r="D158" s="38"/>
      <c r="F158" s="839"/>
      <c r="G158" s="840"/>
      <c r="H158" s="841"/>
      <c r="I158" s="1027" t="str">
        <f>'4 - Demand Agriculture'!A65</f>
        <v>Tomato</v>
      </c>
      <c r="J158" s="828"/>
      <c r="K158" s="1041" t="str">
        <f>IF('4 - Demand Agriculture'!G34&lt;1," ",'4 - Demand Agriculture'!G34)</f>
        <v xml:space="preserve"> </v>
      </c>
      <c r="L158" s="828"/>
      <c r="M158" s="1041" t="str">
        <f>IF('4 - Demand Agriculture'!V50&lt;1,"",'4 - Demand Agriculture'!V50)</f>
        <v/>
      </c>
      <c r="N158" s="881"/>
      <c r="O158" s="1041" t="str">
        <f>IF('4 - Demand Agriculture'!W50&lt;1,"",'4 - Demand Agriculture'!W50)</f>
        <v/>
      </c>
      <c r="P158" s="828"/>
      <c r="Q158" s="65"/>
      <c r="R158" s="54"/>
      <c r="S158" s="40"/>
      <c r="T158" s="40"/>
      <c r="U158" s="40"/>
      <c r="V158" s="40"/>
    </row>
    <row r="159" spans="1:22" x14ac:dyDescent="0.25">
      <c r="A159" s="38"/>
      <c r="B159" s="67"/>
      <c r="D159" s="38"/>
      <c r="F159" s="13"/>
      <c r="G159" s="14"/>
      <c r="H159" s="14"/>
      <c r="I159" s="413"/>
      <c r="J159" s="413"/>
      <c r="K159" s="53"/>
      <c r="L159" s="413"/>
      <c r="M159" s="15"/>
      <c r="N159" s="14"/>
      <c r="O159" s="53"/>
      <c r="P159" s="53"/>
      <c r="Q159" s="65"/>
      <c r="R159" s="54"/>
      <c r="S159" s="40"/>
      <c r="T159" s="40"/>
      <c r="U159" s="40"/>
      <c r="V159" s="40"/>
    </row>
    <row r="160" spans="1:22" x14ac:dyDescent="0.25">
      <c r="A160" s="38"/>
      <c r="B160" s="67"/>
      <c r="D160" s="38"/>
      <c r="F160" s="13"/>
      <c r="G160" s="60" t="s">
        <v>214</v>
      </c>
      <c r="H160" s="14"/>
      <c r="I160" s="428" t="s">
        <v>221</v>
      </c>
      <c r="J160" s="413"/>
      <c r="K160" s="1085" t="str">
        <f>IF('4 - Demand Agriculture'!N71=1,'4 - Demand Agriculture'!P71,IF('4 - Demand Agriculture'!N71=2,'4 - Demand Agriculture'!P72,IF('4 - Demand Agriculture'!N71=3,'4 - Demand Agriculture'!P73,IF('4 - Demand Agriculture'!N71=4,'4 - Demand Agriculture'!P74,IF('4 - Demand Agriculture'!N71=5,'4 - Demand Agriculture'!P75,IF('4 - Demand Agriculture'!N71=6,'4 - Demand Agriculture'!P76,IF('4 - Demand Agriculture'!N71=7,'4 - Demand Agriculture'!R71,IF('4 - Demand Agriculture'!N71=8,'4 - Demand Agriculture'!S72,IF('4 - Demand Agriculture'!N71=9,'4 - Demand Agriculture'!R73,IF('4 - Demand Agriculture'!N71=10,'4 - Demand Agriculture'!R74,IF('4 - Demand Agriculture'!N71=11,'4 - Demand Agriculture'!R75,IF('4 - Demand Agriculture'!N71=12,'4 - Demand Agriculture'!R76,IF('4 - Demand Agriculture'!N71=13,'4 - Demand Agriculture'!U71,"N/A")))))))))))))</f>
        <v>Lokitaung</v>
      </c>
      <c r="L160" s="1129"/>
      <c r="M160" s="15"/>
      <c r="N160" s="14"/>
      <c r="O160" s="424"/>
      <c r="P160" s="424"/>
      <c r="Q160" s="456"/>
      <c r="R160" s="40"/>
      <c r="S160" s="40"/>
      <c r="T160" s="40"/>
      <c r="U160" s="40"/>
      <c r="V160" s="40"/>
    </row>
    <row r="161" spans="1:22" x14ac:dyDescent="0.25">
      <c r="A161" s="38"/>
      <c r="B161" s="67"/>
      <c r="D161" s="38"/>
      <c r="F161" s="13"/>
      <c r="G161" s="60"/>
      <c r="H161" s="14"/>
      <c r="I161" s="428"/>
      <c r="J161" s="413"/>
      <c r="K161" s="414"/>
      <c r="L161" s="455"/>
      <c r="M161" s="15"/>
      <c r="N161" s="14"/>
      <c r="O161" s="424"/>
      <c r="P161" s="424"/>
      <c r="Q161" s="456"/>
      <c r="R161" s="40"/>
      <c r="S161" s="40"/>
      <c r="T161" s="40"/>
      <c r="U161" s="40"/>
      <c r="V161" s="40"/>
    </row>
    <row r="162" spans="1:22" x14ac:dyDescent="0.25">
      <c r="A162" s="38"/>
      <c r="B162" s="67"/>
      <c r="D162" s="38"/>
      <c r="F162" s="13"/>
      <c r="G162" s="60" t="s">
        <v>220</v>
      </c>
      <c r="H162" s="14"/>
      <c r="I162" s="428" t="s">
        <v>236</v>
      </c>
      <c r="J162" s="413"/>
      <c r="K162" s="445"/>
      <c r="L162" s="47"/>
      <c r="M162" s="454">
        <f>'4 - Demand Agriculture'!G119</f>
        <v>0.5</v>
      </c>
      <c r="N162" s="14"/>
      <c r="O162" s="424"/>
      <c r="P162" s="424"/>
      <c r="Q162" s="456"/>
      <c r="R162" s="40"/>
      <c r="S162" s="40"/>
      <c r="T162" s="40"/>
      <c r="U162" s="40"/>
      <c r="V162" s="40"/>
    </row>
    <row r="163" spans="1:22" x14ac:dyDescent="0.25">
      <c r="A163" s="38"/>
      <c r="B163" s="67"/>
      <c r="D163" s="38"/>
      <c r="F163" s="13"/>
      <c r="G163" s="60"/>
      <c r="H163" s="14"/>
      <c r="I163" s="428" t="s">
        <v>237</v>
      </c>
      <c r="J163" s="445"/>
      <c r="K163" s="414"/>
      <c r="L163" s="47"/>
      <c r="M163" s="551">
        <f>'4 - Demand Agriculture'!G121</f>
        <v>0.6</v>
      </c>
      <c r="N163" s="14"/>
      <c r="O163" s="424"/>
      <c r="P163" s="424"/>
      <c r="Q163" s="456"/>
      <c r="R163" s="40"/>
      <c r="S163" s="40"/>
      <c r="T163" s="40"/>
      <c r="U163" s="40"/>
      <c r="V163" s="40"/>
    </row>
    <row r="164" spans="1:22" x14ac:dyDescent="0.25">
      <c r="A164" s="38"/>
      <c r="B164" s="67"/>
      <c r="D164" s="38"/>
      <c r="F164" s="13"/>
      <c r="G164" s="60"/>
      <c r="H164" s="14"/>
      <c r="I164" s="428" t="s">
        <v>273</v>
      </c>
      <c r="J164" s="445"/>
      <c r="K164" s="521"/>
      <c r="L164" s="457"/>
      <c r="M164" s="551">
        <f>'4 - Demand Agriculture'!F126</f>
        <v>0.9</v>
      </c>
      <c r="N164" s="14"/>
      <c r="O164" s="424"/>
      <c r="P164" s="424"/>
      <c r="Q164" s="456"/>
      <c r="R164" s="40"/>
      <c r="S164" s="40"/>
      <c r="T164" s="40"/>
      <c r="U164" s="40"/>
      <c r="V164" s="40"/>
    </row>
    <row r="165" spans="1:22" x14ac:dyDescent="0.25">
      <c r="A165" s="38"/>
      <c r="B165" s="67"/>
      <c r="D165" s="38"/>
      <c r="F165" s="13"/>
      <c r="G165" s="60"/>
      <c r="H165" s="14"/>
      <c r="I165" s="428"/>
      <c r="J165" s="445"/>
      <c r="K165" s="414"/>
      <c r="L165" s="457"/>
      <c r="M165" s="15"/>
      <c r="N165" s="14"/>
      <c r="O165" s="424"/>
      <c r="P165" s="424"/>
      <c r="Q165" s="456"/>
      <c r="R165" s="40"/>
      <c r="S165" s="40"/>
      <c r="T165" s="40"/>
      <c r="U165" s="40"/>
      <c r="V165" s="40"/>
    </row>
    <row r="166" spans="1:22" x14ac:dyDescent="0.25">
      <c r="A166" s="38"/>
      <c r="B166" s="67"/>
      <c r="D166" s="38"/>
      <c r="F166" s="13"/>
      <c r="G166" s="60" t="s">
        <v>238</v>
      </c>
      <c r="H166" s="14"/>
      <c r="I166" s="859" t="s">
        <v>211</v>
      </c>
      <c r="J166" s="838"/>
      <c r="K166" s="1042" t="str">
        <f>'4 - Demand Agriculture'!L119</f>
        <v>% of each crop in the garden</v>
      </c>
      <c r="L166" s="825"/>
      <c r="M166" s="1058" t="s">
        <v>272</v>
      </c>
      <c r="N166" s="1059"/>
      <c r="O166" s="424"/>
      <c r="P166" s="424"/>
      <c r="Q166" s="456"/>
      <c r="R166" s="40"/>
      <c r="S166" s="40"/>
      <c r="T166" s="40"/>
      <c r="U166" s="40"/>
      <c r="V166" s="40"/>
    </row>
    <row r="167" spans="1:22" x14ac:dyDescent="0.25">
      <c r="A167" s="38"/>
      <c r="B167" s="67"/>
      <c r="D167" s="38"/>
      <c r="F167" s="13"/>
      <c r="G167" s="60"/>
      <c r="H167" s="14"/>
      <c r="I167" s="839"/>
      <c r="J167" s="841"/>
      <c r="K167" s="826"/>
      <c r="L167" s="827"/>
      <c r="M167" s="1060"/>
      <c r="N167" s="1060"/>
      <c r="O167" s="424"/>
      <c r="P167" s="424"/>
      <c r="Q167" s="456"/>
      <c r="R167" s="40"/>
      <c r="S167" s="40"/>
      <c r="T167" s="40"/>
      <c r="U167" s="40"/>
      <c r="V167" s="40"/>
    </row>
    <row r="168" spans="1:22" x14ac:dyDescent="0.25">
      <c r="A168" s="38"/>
      <c r="B168" s="67"/>
      <c r="D168" s="38"/>
      <c r="F168" s="13"/>
      <c r="G168" s="60"/>
      <c r="H168" s="14"/>
      <c r="I168" s="1134" t="str">
        <f>'4 - Demand Agriculture'!J121</f>
        <v>Beans</v>
      </c>
      <c r="J168" s="1135"/>
      <c r="K168" s="1136" t="str">
        <f>IF('4 - Demand Agriculture'!L121&lt;1%,"",'4 - Demand Agriculture'!L121)</f>
        <v/>
      </c>
      <c r="L168" s="1137"/>
      <c r="M168" s="1061" t="str">
        <f>IF(('4 - Demand Agriculture'!T121)&lt;1%,"",('4 - Demand Agriculture'!T121))</f>
        <v/>
      </c>
      <c r="N168" s="1062"/>
      <c r="O168" s="424"/>
      <c r="P168" s="424"/>
      <c r="Q168" s="456"/>
      <c r="R168" s="40"/>
      <c r="S168" s="40"/>
      <c r="T168" s="40"/>
      <c r="U168" s="40"/>
      <c r="V168" s="40"/>
    </row>
    <row r="169" spans="1:22" x14ac:dyDescent="0.25">
      <c r="A169" s="38"/>
      <c r="B169" s="67"/>
      <c r="D169" s="38"/>
      <c r="F169" s="13"/>
      <c r="G169" s="60"/>
      <c r="H169" s="14"/>
      <c r="I169" s="1072" t="str">
        <f>'4 - Demand Agriculture'!J122</f>
        <v>Cabbage</v>
      </c>
      <c r="J169" s="1073"/>
      <c r="K169" s="1045" t="str">
        <f>IF('4 - Demand Agriculture'!L122&lt;1%,"",'4 - Demand Agriculture'!L122)</f>
        <v/>
      </c>
      <c r="L169" s="1046"/>
      <c r="M169" s="1047" t="str">
        <f>IF(('4 - Demand Agriculture'!T122)&lt;1%,"",('4 - Demand Agriculture'!T122))</f>
        <v/>
      </c>
      <c r="N169" s="1048"/>
      <c r="O169" s="424"/>
      <c r="P169" s="424"/>
      <c r="Q169" s="456"/>
      <c r="R169" s="40"/>
      <c r="S169" s="40"/>
      <c r="T169" s="40"/>
      <c r="U169" s="40"/>
      <c r="V169" s="40"/>
    </row>
    <row r="170" spans="1:22" x14ac:dyDescent="0.25">
      <c r="A170" s="38"/>
      <c r="B170" s="67"/>
      <c r="D170" s="38"/>
      <c r="F170" s="13"/>
      <c r="G170" s="60"/>
      <c r="H170" s="14"/>
      <c r="I170" s="1072" t="str">
        <f>'4 - Demand Agriculture'!J123</f>
        <v>Groundnut</v>
      </c>
      <c r="J170" s="1073"/>
      <c r="K170" s="1045" t="str">
        <f>IF('4 - Demand Agriculture'!L123&lt;1%,"",'4 - Demand Agriculture'!L123)</f>
        <v/>
      </c>
      <c r="L170" s="1046"/>
      <c r="M170" s="1047" t="str">
        <f>IF(('4 - Demand Agriculture'!T123)&lt;1%,"",('4 - Demand Agriculture'!T123))</f>
        <v/>
      </c>
      <c r="N170" s="1048"/>
      <c r="O170" s="550"/>
      <c r="P170" s="424"/>
      <c r="Q170" s="456"/>
      <c r="R170" s="40"/>
      <c r="S170" s="40"/>
      <c r="T170" s="40"/>
      <c r="U170" s="40"/>
      <c r="V170" s="40"/>
    </row>
    <row r="171" spans="1:22" x14ac:dyDescent="0.25">
      <c r="A171" s="38"/>
      <c r="B171" s="67"/>
      <c r="D171" s="38"/>
      <c r="F171" s="13"/>
      <c r="G171" s="60"/>
      <c r="H171" s="14"/>
      <c r="I171" s="1072" t="str">
        <f>'4 - Demand Agriculture'!J124</f>
        <v>Maize</v>
      </c>
      <c r="J171" s="1073"/>
      <c r="K171" s="1045">
        <f>IF('4 - Demand Agriculture'!L124&lt;1%,"",'4 - Demand Agriculture'!L124)</f>
        <v>0.5</v>
      </c>
      <c r="L171" s="1046"/>
      <c r="M171" s="1047">
        <f>IF(('4 - Demand Agriculture'!T124)&lt;1%,"",('4 - Demand Agriculture'!T124))</f>
        <v>0.5</v>
      </c>
      <c r="N171" s="1048"/>
      <c r="O171" s="424"/>
      <c r="P171" s="424"/>
      <c r="Q171" s="456"/>
      <c r="R171" s="40"/>
      <c r="S171" s="40"/>
      <c r="T171" s="40"/>
      <c r="U171" s="40"/>
      <c r="V171" s="40"/>
    </row>
    <row r="172" spans="1:22" x14ac:dyDescent="0.25">
      <c r="A172" s="38"/>
      <c r="B172" s="67"/>
      <c r="D172" s="38"/>
      <c r="F172" s="13"/>
      <c r="G172" s="60"/>
      <c r="H172" s="14"/>
      <c r="I172" s="1072" t="str">
        <f>'4 - Demand Agriculture'!J125</f>
        <v>Melon</v>
      </c>
      <c r="J172" s="1073"/>
      <c r="K172" s="1045" t="str">
        <f>IF('4 - Demand Agriculture'!L125&lt;1%,"",'4 - Demand Agriculture'!L125)</f>
        <v/>
      </c>
      <c r="L172" s="1046"/>
      <c r="M172" s="1047" t="str">
        <f>IF(('4 - Demand Agriculture'!T125)&lt;1%,"",('4 - Demand Agriculture'!T125))</f>
        <v/>
      </c>
      <c r="N172" s="1048"/>
      <c r="O172" s="424"/>
      <c r="P172" s="424"/>
      <c r="Q172" s="456"/>
      <c r="R172" s="40"/>
      <c r="S172" s="40"/>
      <c r="T172" s="40"/>
      <c r="U172" s="40"/>
      <c r="V172" s="40"/>
    </row>
    <row r="173" spans="1:22" x14ac:dyDescent="0.25">
      <c r="A173" s="38"/>
      <c r="B173" s="67"/>
      <c r="D173" s="38"/>
      <c r="F173" s="13"/>
      <c r="G173" s="60"/>
      <c r="H173" s="14"/>
      <c r="I173" s="1072" t="str">
        <f>'4 - Demand Agriculture'!J126</f>
        <v>Millet</v>
      </c>
      <c r="J173" s="1073"/>
      <c r="K173" s="1045" t="str">
        <f>IF('4 - Demand Agriculture'!L126&lt;1%,"",'4 - Demand Agriculture'!L126)</f>
        <v/>
      </c>
      <c r="L173" s="1046"/>
      <c r="M173" s="1047" t="str">
        <f>IF(('4 - Demand Agriculture'!T126)&lt;1%,"",('4 - Demand Agriculture'!T126))</f>
        <v/>
      </c>
      <c r="N173" s="1048"/>
      <c r="O173" s="424"/>
      <c r="P173" s="424"/>
      <c r="Q173" s="456"/>
      <c r="R173" s="40"/>
      <c r="S173" s="40"/>
      <c r="T173" s="40"/>
      <c r="U173" s="40"/>
      <c r="V173" s="40"/>
    </row>
    <row r="174" spans="1:22" x14ac:dyDescent="0.25">
      <c r="A174" s="38"/>
      <c r="B174" s="67"/>
      <c r="D174" s="38"/>
      <c r="F174" s="13"/>
      <c r="G174" s="60"/>
      <c r="H174" s="14"/>
      <c r="I174" s="1072" t="str">
        <f>'4 - Demand Agriculture'!J127</f>
        <v>Onion dry</v>
      </c>
      <c r="J174" s="1073"/>
      <c r="K174" s="1045" t="str">
        <f>IF('4 - Demand Agriculture'!L127&lt;1%,"",'4 - Demand Agriculture'!L127)</f>
        <v/>
      </c>
      <c r="L174" s="1046"/>
      <c r="M174" s="1047" t="str">
        <f>IF(('4 - Demand Agriculture'!T127)&lt;1%,"",('4 - Demand Agriculture'!T127))</f>
        <v/>
      </c>
      <c r="N174" s="1048"/>
      <c r="O174" s="424"/>
      <c r="P174" s="424"/>
      <c r="Q174" s="456"/>
      <c r="R174" s="40"/>
      <c r="S174" s="40"/>
      <c r="T174" s="40"/>
      <c r="U174" s="40"/>
      <c r="V174" s="40"/>
    </row>
    <row r="175" spans="1:22" x14ac:dyDescent="0.25">
      <c r="A175" s="38"/>
      <c r="B175" s="67"/>
      <c r="D175" s="38"/>
      <c r="F175" s="13"/>
      <c r="G175" s="60"/>
      <c r="H175" s="14"/>
      <c r="I175" s="1072" t="str">
        <f>'4 - Demand Agriculture'!J128</f>
        <v>Sorghum</v>
      </c>
      <c r="J175" s="1073"/>
      <c r="K175" s="1045">
        <f>IF('4 - Demand Agriculture'!L128&lt;1%,"",'4 - Demand Agriculture'!L128)</f>
        <v>0.4</v>
      </c>
      <c r="L175" s="1046"/>
      <c r="M175" s="1047">
        <f>IF(('4 - Demand Agriculture'!T128)&lt;1%,"",('4 - Demand Agriculture'!T128))</f>
        <v>0.5</v>
      </c>
      <c r="N175" s="1048"/>
      <c r="O175" s="424"/>
      <c r="P175" s="424"/>
      <c r="Q175" s="456"/>
      <c r="R175" s="40"/>
      <c r="S175" s="40"/>
      <c r="T175" s="40"/>
      <c r="U175" s="40"/>
      <c r="V175" s="40"/>
    </row>
    <row r="176" spans="1:22" x14ac:dyDescent="0.25">
      <c r="A176" s="38"/>
      <c r="B176" s="67"/>
      <c r="D176" s="38"/>
      <c r="F176" s="13"/>
      <c r="G176" s="60"/>
      <c r="H176" s="14"/>
      <c r="I176" s="1072" t="str">
        <f>'4 - Demand Agriculture'!J129</f>
        <v>Spinach</v>
      </c>
      <c r="J176" s="1073"/>
      <c r="K176" s="1045">
        <f>IF('4 - Demand Agriculture'!L129&lt;1%,"",'4 - Demand Agriculture'!L129)</f>
        <v>0.1</v>
      </c>
      <c r="L176" s="1046"/>
      <c r="M176" s="1047">
        <f>IF(('4 - Demand Agriculture'!T129)&lt;1%,"",('4 - Demand Agriculture'!T129))</f>
        <v>0.5</v>
      </c>
      <c r="N176" s="1048"/>
      <c r="O176" s="424"/>
      <c r="P176" s="424"/>
      <c r="Q176" s="456"/>
      <c r="R176" s="40"/>
      <c r="S176" s="40"/>
      <c r="T176" s="40"/>
      <c r="U176" s="40"/>
      <c r="V176" s="40"/>
    </row>
    <row r="177" spans="1:40" x14ac:dyDescent="0.25">
      <c r="A177" s="38"/>
      <c r="B177" s="67"/>
      <c r="D177" s="38"/>
      <c r="F177" s="13"/>
      <c r="G177" s="60"/>
      <c r="H177" s="14"/>
      <c r="I177" s="1074" t="str">
        <f>'4 - Demand Agriculture'!J130</f>
        <v>Tomato</v>
      </c>
      <c r="J177" s="1075"/>
      <c r="K177" s="1076" t="str">
        <f>IF('4 - Demand Agriculture'!L130&lt;1%,"",'4 - Demand Agriculture'!L130)</f>
        <v/>
      </c>
      <c r="L177" s="1077"/>
      <c r="M177" s="1132" t="str">
        <f>IF(('4 - Demand Agriculture'!T130)&lt;1%,"",('4 - Demand Agriculture'!T130))</f>
        <v/>
      </c>
      <c r="N177" s="1133"/>
      <c r="O177" s="424"/>
      <c r="P177" s="424"/>
      <c r="Q177" s="456"/>
      <c r="R177" s="40"/>
      <c r="S177" s="40"/>
      <c r="T177" s="40"/>
      <c r="U177" s="40"/>
      <c r="V177" s="40"/>
    </row>
    <row r="178" spans="1:40" x14ac:dyDescent="0.25">
      <c r="A178" s="38"/>
      <c r="B178" s="67"/>
      <c r="D178" s="38"/>
      <c r="F178" s="13"/>
      <c r="G178" s="14"/>
      <c r="H178" s="14"/>
      <c r="I178" s="896"/>
      <c r="J178" s="876"/>
      <c r="K178" s="53"/>
      <c r="L178" s="413"/>
      <c r="M178" s="15"/>
      <c r="N178" s="14"/>
      <c r="O178" s="53"/>
      <c r="P178" s="53"/>
      <c r="Q178" s="65"/>
      <c r="R178" s="54"/>
      <c r="S178" s="40"/>
      <c r="T178" s="40"/>
      <c r="U178" s="40"/>
      <c r="V178" s="40"/>
    </row>
    <row r="179" spans="1:40" x14ac:dyDescent="0.25">
      <c r="A179" s="38"/>
      <c r="B179" s="67"/>
      <c r="D179" s="38"/>
      <c r="F179" s="13"/>
      <c r="G179" s="60" t="s">
        <v>222</v>
      </c>
      <c r="H179" s="14"/>
      <c r="I179" s="413"/>
      <c r="J179" s="413"/>
      <c r="K179" s="53"/>
      <c r="L179" s="413"/>
      <c r="M179" s="15"/>
      <c r="N179" s="14"/>
      <c r="O179" s="53"/>
      <c r="P179" s="53"/>
      <c r="Q179" s="65"/>
      <c r="R179" s="54"/>
      <c r="S179" s="40"/>
      <c r="T179" s="40"/>
      <c r="U179" s="40"/>
      <c r="V179" s="40"/>
    </row>
    <row r="180" spans="1:40" x14ac:dyDescent="0.25">
      <c r="A180" s="38"/>
      <c r="B180" s="67"/>
      <c r="D180" s="38"/>
      <c r="F180" s="13"/>
      <c r="G180" s="1011" t="s">
        <v>202</v>
      </c>
      <c r="H180" s="1012"/>
      <c r="I180" s="36" t="s">
        <v>208</v>
      </c>
      <c r="J180" s="14"/>
      <c r="K180" s="14"/>
      <c r="L180" s="14"/>
      <c r="M180" s="15"/>
      <c r="N180" s="14"/>
      <c r="O180" s="14"/>
      <c r="P180" s="14"/>
      <c r="Q180" s="18"/>
      <c r="R180" s="40"/>
      <c r="S180" s="40"/>
      <c r="T180" s="40"/>
      <c r="U180" s="40"/>
      <c r="V180" s="40"/>
    </row>
    <row r="181" spans="1:40" x14ac:dyDescent="0.25">
      <c r="A181" s="38"/>
      <c r="B181" s="67"/>
      <c r="D181" s="38"/>
      <c r="F181" s="13"/>
      <c r="G181" s="419"/>
      <c r="H181" s="419" t="s">
        <v>203</v>
      </c>
      <c r="I181" s="36" t="s">
        <v>209</v>
      </c>
      <c r="J181" s="14"/>
      <c r="K181" s="14"/>
      <c r="L181" s="14"/>
      <c r="M181" s="15"/>
      <c r="N181" s="14"/>
      <c r="O181" s="14"/>
      <c r="P181" s="14"/>
      <c r="Q181" s="18"/>
      <c r="R181" s="40"/>
      <c r="S181" s="40"/>
      <c r="T181" s="40"/>
      <c r="U181" s="40"/>
      <c r="V181" s="40"/>
    </row>
    <row r="182" spans="1:40" x14ac:dyDescent="0.25">
      <c r="A182" s="38"/>
      <c r="B182" s="67"/>
      <c r="D182" s="38"/>
      <c r="F182" s="13"/>
      <c r="G182" s="419"/>
      <c r="H182" s="419" t="s">
        <v>204</v>
      </c>
      <c r="I182" s="36" t="s">
        <v>207</v>
      </c>
      <c r="J182" s="14"/>
      <c r="K182" s="14"/>
      <c r="L182" s="14"/>
      <c r="M182" s="15"/>
      <c r="N182" s="14"/>
      <c r="O182" s="14"/>
      <c r="P182" s="14"/>
      <c r="Q182" s="18"/>
      <c r="R182" s="40"/>
      <c r="S182" s="40"/>
      <c r="T182" s="40"/>
      <c r="U182" s="40"/>
      <c r="V182" s="40"/>
    </row>
    <row r="183" spans="1:40" x14ac:dyDescent="0.25">
      <c r="A183" s="38"/>
      <c r="B183" s="67"/>
      <c r="D183" s="38"/>
      <c r="F183" s="13"/>
      <c r="G183" s="1011" t="s">
        <v>205</v>
      </c>
      <c r="H183" s="1012"/>
      <c r="I183" s="36" t="s">
        <v>206</v>
      </c>
      <c r="J183" s="14"/>
      <c r="K183" s="14"/>
      <c r="L183" s="14"/>
      <c r="M183" s="15"/>
      <c r="N183" s="14"/>
      <c r="O183" s="14"/>
      <c r="P183" s="14"/>
      <c r="Q183" s="18"/>
      <c r="R183" s="40"/>
      <c r="S183" s="40"/>
      <c r="T183" s="40"/>
      <c r="U183" s="40"/>
      <c r="V183" s="40"/>
    </row>
    <row r="184" spans="1:40" x14ac:dyDescent="0.25">
      <c r="A184" s="38"/>
      <c r="B184" s="67"/>
      <c r="D184" s="38"/>
      <c r="F184" s="26"/>
      <c r="G184" s="32"/>
      <c r="H184" s="32"/>
      <c r="I184" s="35"/>
      <c r="J184" s="32"/>
      <c r="K184" s="32"/>
      <c r="L184" s="32"/>
      <c r="M184" s="32"/>
      <c r="N184" s="32"/>
      <c r="O184" s="32"/>
      <c r="P184" s="32"/>
      <c r="Q184" s="37"/>
      <c r="R184" s="40"/>
      <c r="S184" s="40"/>
      <c r="T184" s="40"/>
      <c r="U184" s="40"/>
      <c r="V184" s="40"/>
    </row>
    <row r="185" spans="1:40" x14ac:dyDescent="0.25">
      <c r="A185" s="38"/>
      <c r="B185" s="67"/>
      <c r="D185" s="38"/>
      <c r="F185" s="40"/>
      <c r="G185" s="40"/>
      <c r="H185" s="40"/>
      <c r="I185" s="68"/>
      <c r="J185" s="40"/>
      <c r="K185" s="40"/>
      <c r="L185" s="40"/>
      <c r="M185" s="40"/>
      <c r="N185" s="40"/>
      <c r="O185" s="40"/>
      <c r="P185" s="40"/>
      <c r="Q185" s="40"/>
      <c r="R185" s="40"/>
      <c r="S185" s="40"/>
      <c r="T185" s="40"/>
      <c r="U185" s="40"/>
      <c r="V185" s="40"/>
    </row>
    <row r="186" spans="1:40" x14ac:dyDescent="0.25">
      <c r="A186" s="38"/>
      <c r="B186" s="38"/>
      <c r="C186" s="38"/>
      <c r="D186" s="38"/>
      <c r="F186" s="40"/>
      <c r="G186" s="40"/>
      <c r="H186" s="40"/>
      <c r="I186" s="40"/>
      <c r="J186" s="88"/>
      <c r="K186" s="89"/>
      <c r="L186" s="90"/>
      <c r="M186" s="91"/>
      <c r="N186" s="73"/>
      <c r="O186" s="40"/>
      <c r="P186" s="40"/>
    </row>
    <row r="187" spans="1:40" x14ac:dyDescent="0.25">
      <c r="F187" s="9"/>
      <c r="G187" s="10"/>
      <c r="H187" s="10"/>
      <c r="I187" s="10"/>
      <c r="J187" s="214"/>
      <c r="K187" s="416"/>
      <c r="L187" s="215"/>
      <c r="M187" s="216"/>
      <c r="N187" s="217"/>
      <c r="O187" s="10"/>
      <c r="P187" s="10"/>
      <c r="Q187" s="10"/>
      <c r="R187" s="10"/>
      <c r="S187" s="10"/>
      <c r="T187" s="10"/>
      <c r="U187" s="12"/>
    </row>
    <row r="188" spans="1:40" x14ac:dyDescent="0.25">
      <c r="A188" s="38"/>
      <c r="B188" s="67"/>
      <c r="D188" s="38"/>
      <c r="F188" s="13"/>
      <c r="G188" s="14"/>
      <c r="H188" s="356"/>
      <c r="I188" s="979" t="s">
        <v>191</v>
      </c>
      <c r="J188" s="980"/>
      <c r="K188" s="980"/>
      <c r="L188" s="980"/>
      <c r="M188" s="980"/>
      <c r="N188" s="980"/>
      <c r="O188" s="980"/>
      <c r="P188" s="980"/>
      <c r="Q188" s="980"/>
      <c r="R188" s="980"/>
      <c r="S188" s="980"/>
      <c r="T188" s="981"/>
      <c r="U188" s="18"/>
    </row>
    <row r="189" spans="1:40" x14ac:dyDescent="0.25">
      <c r="A189" s="38"/>
      <c r="B189" s="67"/>
      <c r="D189" s="38"/>
      <c r="F189" s="13"/>
      <c r="G189" s="14"/>
      <c r="H189" s="356"/>
      <c r="I189" s="1051" t="s">
        <v>36</v>
      </c>
      <c r="J189" s="980"/>
      <c r="K189" s="980"/>
      <c r="L189" s="980"/>
      <c r="M189" s="980"/>
      <c r="N189" s="980"/>
      <c r="O189" s="980"/>
      <c r="P189" s="980"/>
      <c r="Q189" s="980"/>
      <c r="R189" s="980"/>
      <c r="S189" s="980"/>
      <c r="T189" s="981"/>
      <c r="U189" s="18"/>
    </row>
    <row r="190" spans="1:40" s="234" customFormat="1" ht="15" customHeight="1" x14ac:dyDescent="0.25">
      <c r="A190" s="354"/>
      <c r="B190" s="354"/>
      <c r="C190" s="354"/>
      <c r="D190" s="354"/>
      <c r="E190" s="354"/>
      <c r="F190" s="441"/>
      <c r="G190" s="14"/>
      <c r="H190" s="41"/>
      <c r="I190" s="384" t="s">
        <v>92</v>
      </c>
      <c r="J190" s="384" t="s">
        <v>93</v>
      </c>
      <c r="K190" s="384" t="s">
        <v>94</v>
      </c>
      <c r="L190" s="384" t="s">
        <v>95</v>
      </c>
      <c r="M190" s="384" t="s">
        <v>96</v>
      </c>
      <c r="N190" s="384" t="s">
        <v>97</v>
      </c>
      <c r="O190" s="384" t="s">
        <v>98</v>
      </c>
      <c r="P190" s="384" t="s">
        <v>99</v>
      </c>
      <c r="Q190" s="384" t="s">
        <v>100</v>
      </c>
      <c r="R190" s="384" t="s">
        <v>101</v>
      </c>
      <c r="S190" s="384" t="s">
        <v>102</v>
      </c>
      <c r="T190" s="384" t="s">
        <v>103</v>
      </c>
      <c r="U190" s="225"/>
      <c r="V190" s="355"/>
      <c r="W190" s="222"/>
      <c r="X190" s="355"/>
      <c r="Y190" s="222"/>
      <c r="Z190" s="355"/>
      <c r="AA190" s="355"/>
      <c r="AB190" s="355"/>
      <c r="AC190" s="355"/>
      <c r="AD190" s="355"/>
      <c r="AE190" s="355"/>
      <c r="AF190" s="355"/>
      <c r="AG190" s="355"/>
      <c r="AH190" s="355"/>
      <c r="AI190" s="355"/>
      <c r="AJ190" s="355"/>
      <c r="AK190" s="354"/>
      <c r="AL190" s="354"/>
      <c r="AM190" s="354"/>
      <c r="AN190" s="354"/>
    </row>
    <row r="191" spans="1:40" x14ac:dyDescent="0.25">
      <c r="F191" s="13"/>
      <c r="G191" s="14"/>
      <c r="H191" s="15"/>
      <c r="I191" s="14"/>
      <c r="J191" s="14"/>
      <c r="K191" s="14"/>
      <c r="L191" s="14"/>
      <c r="M191" s="14"/>
      <c r="N191" s="14"/>
      <c r="O191" s="14"/>
      <c r="P191" s="14"/>
      <c r="Q191" s="14"/>
      <c r="R191" s="14"/>
      <c r="S191" s="14"/>
      <c r="T191" s="14"/>
      <c r="U191" s="18"/>
    </row>
    <row r="192" spans="1:40" s="234" customFormat="1" ht="15" customHeight="1" x14ac:dyDescent="0.25">
      <c r="A192" s="354"/>
      <c r="B192" s="354"/>
      <c r="C192" s="354"/>
      <c r="D192" s="354"/>
      <c r="E192" s="354"/>
      <c r="F192" s="442"/>
      <c r="G192" s="357">
        <f>'1 - General Data'!J18</f>
        <v>2013</v>
      </c>
      <c r="H192" s="359" t="s">
        <v>188</v>
      </c>
      <c r="I192" s="380">
        <f>'4 - Demand Agriculture'!B145</f>
        <v>11384.007868595978</v>
      </c>
      <c r="J192" s="380">
        <f>'4 - Demand Agriculture'!D145</f>
        <v>0</v>
      </c>
      <c r="K192" s="380">
        <f>'4 - Demand Agriculture'!F145</f>
        <v>0</v>
      </c>
      <c r="L192" s="380">
        <f>'4 - Demand Agriculture'!H145</f>
        <v>3065.6408488051215</v>
      </c>
      <c r="M192" s="380">
        <f>'4 - Demand Agriculture'!J145</f>
        <v>6424.8157723183795</v>
      </c>
      <c r="N192" s="380">
        <f>'4 - Demand Agriculture'!L145</f>
        <v>11299.635627673124</v>
      </c>
      <c r="O192" s="380">
        <f>'4 - Demand Agriculture'!N145</f>
        <v>6801.1634829717614</v>
      </c>
      <c r="P192" s="380">
        <f>'4 - Demand Agriculture'!P145</f>
        <v>0</v>
      </c>
      <c r="Q192" s="380">
        <f>'4 - Demand Agriculture'!R145</f>
        <v>0</v>
      </c>
      <c r="R192" s="380">
        <f>'4 - Demand Agriculture'!T145</f>
        <v>4424.7848153151044</v>
      </c>
      <c r="S192" s="380">
        <f>'4 - Demand Agriculture'!V145</f>
        <v>6671.6011563533839</v>
      </c>
      <c r="T192" s="380">
        <f>'4 - Demand Agriculture'!X145</f>
        <v>3399.6175417235645</v>
      </c>
      <c r="U192" s="225"/>
      <c r="V192" s="222"/>
      <c r="W192" s="222"/>
      <c r="X192" s="222"/>
      <c r="Y192" s="222"/>
      <c r="Z192" s="355"/>
      <c r="AA192" s="355"/>
      <c r="AB192" s="355"/>
      <c r="AC192" s="355"/>
      <c r="AD192" s="355"/>
      <c r="AE192" s="355"/>
      <c r="AF192" s="355"/>
      <c r="AG192" s="355"/>
      <c r="AH192" s="355"/>
      <c r="AI192" s="355"/>
      <c r="AJ192" s="355"/>
      <c r="AK192" s="354"/>
      <c r="AL192" s="354"/>
      <c r="AM192" s="354"/>
      <c r="AN192" s="354"/>
    </row>
    <row r="193" spans="1:40" s="234" customFormat="1" x14ac:dyDescent="0.25">
      <c r="A193" s="354"/>
      <c r="B193" s="354"/>
      <c r="C193" s="354"/>
      <c r="D193" s="354"/>
      <c r="E193" s="354"/>
      <c r="F193" s="443"/>
      <c r="G193" s="358"/>
      <c r="H193" s="360" t="s">
        <v>189</v>
      </c>
      <c r="I193" s="381">
        <f>'4 - Demand Agriculture'!B164</f>
        <v>379.46692895319927</v>
      </c>
      <c r="J193" s="381">
        <f>'4 - Demand Agriculture'!D164</f>
        <v>0</v>
      </c>
      <c r="K193" s="381">
        <f>'4 - Demand Agriculture'!F164</f>
        <v>0</v>
      </c>
      <c r="L193" s="381">
        <f>'4 - Demand Agriculture'!H164</f>
        <v>102.18802829350405</v>
      </c>
      <c r="M193" s="381">
        <f>'4 - Demand Agriculture'!J164</f>
        <v>214.16052574394598</v>
      </c>
      <c r="N193" s="381">
        <f>'4 - Demand Agriculture'!L164</f>
        <v>376.65452092243748</v>
      </c>
      <c r="O193" s="381">
        <f>'4 - Demand Agriculture'!N164</f>
        <v>226.70544943239204</v>
      </c>
      <c r="P193" s="381">
        <f>'4 - Demand Agriculture'!P164</f>
        <v>0</v>
      </c>
      <c r="Q193" s="381">
        <f>'4 - Demand Agriculture'!R164</f>
        <v>0</v>
      </c>
      <c r="R193" s="381">
        <f>'4 - Demand Agriculture'!T164</f>
        <v>147.49282717717014</v>
      </c>
      <c r="S193" s="381">
        <f>'4 - Demand Agriculture'!V164</f>
        <v>222.38670521177946</v>
      </c>
      <c r="T193" s="381">
        <f>'4 - Demand Agriculture'!X164</f>
        <v>113.32058472411882</v>
      </c>
      <c r="U193" s="225"/>
      <c r="V193" s="222"/>
      <c r="W193" s="222"/>
      <c r="X193" s="222"/>
      <c r="Y193" s="222"/>
      <c r="Z193" s="355"/>
      <c r="AA193" s="355"/>
      <c r="AB193" s="355"/>
      <c r="AC193" s="355"/>
      <c r="AD193" s="355"/>
      <c r="AE193" s="355"/>
      <c r="AF193" s="355"/>
      <c r="AG193" s="355"/>
      <c r="AH193" s="355"/>
      <c r="AI193" s="355"/>
      <c r="AJ193" s="355"/>
      <c r="AK193" s="354"/>
      <c r="AL193" s="354"/>
      <c r="AM193" s="354"/>
      <c r="AN193" s="354"/>
    </row>
    <row r="194" spans="1:40" s="234" customFormat="1" x14ac:dyDescent="0.25">
      <c r="A194" s="354"/>
      <c r="B194" s="354"/>
      <c r="C194" s="354"/>
      <c r="D194" s="354"/>
      <c r="E194" s="354"/>
      <c r="F194" s="443"/>
      <c r="G194" s="357">
        <f>'1 - General Data'!J19</f>
        <v>2023</v>
      </c>
      <c r="H194" s="359" t="s">
        <v>188</v>
      </c>
      <c r="I194" s="382">
        <f>'4 - Demand Agriculture'!B146</f>
        <v>15299.1546371885</v>
      </c>
      <c r="J194" s="382">
        <f>'4 - Demand Agriculture'!D146</f>
        <v>0</v>
      </c>
      <c r="K194" s="382">
        <f>'4 - Demand Agriculture'!F146</f>
        <v>0</v>
      </c>
      <c r="L194" s="382">
        <f>'4 - Demand Agriculture'!H146</f>
        <v>4119.9649498956196</v>
      </c>
      <c r="M194" s="382">
        <f>'4 - Demand Agriculture'!J146</f>
        <v>8634.415150687124</v>
      </c>
      <c r="N194" s="382">
        <f>'4 - Demand Agriculture'!L146</f>
        <v>15185.765400650307</v>
      </c>
      <c r="O194" s="382">
        <f>'4 - Demand Agriculture'!N146</f>
        <v>9140.1950033628655</v>
      </c>
      <c r="P194" s="382">
        <f>'4 - Demand Agriculture'!P146</f>
        <v>0</v>
      </c>
      <c r="Q194" s="382">
        <f>'4 - Demand Agriculture'!R146</f>
        <v>0</v>
      </c>
      <c r="R194" s="382">
        <f>'4 - Demand Agriculture'!T146</f>
        <v>5946.5407883751241</v>
      </c>
      <c r="S194" s="382">
        <f>'4 - Demand Agriculture'!V146</f>
        <v>8966.0740704744967</v>
      </c>
      <c r="T194" s="382">
        <f>'4 - Demand Agriculture'!X146</f>
        <v>4568.8016978278965</v>
      </c>
      <c r="U194" s="225"/>
      <c r="V194" s="222"/>
      <c r="W194" s="222"/>
      <c r="X194" s="222"/>
      <c r="Y194" s="222"/>
      <c r="Z194" s="355"/>
      <c r="AA194" s="355"/>
      <c r="AB194" s="355"/>
      <c r="AC194" s="355"/>
      <c r="AD194" s="355"/>
      <c r="AE194" s="355"/>
      <c r="AF194" s="355"/>
      <c r="AG194" s="355"/>
      <c r="AH194" s="355"/>
      <c r="AI194" s="355"/>
      <c r="AJ194" s="355"/>
      <c r="AK194" s="354"/>
      <c r="AL194" s="354"/>
      <c r="AM194" s="354"/>
      <c r="AN194" s="354"/>
    </row>
    <row r="195" spans="1:40" customFormat="1" x14ac:dyDescent="0.25">
      <c r="A195" s="8"/>
      <c r="B195" s="8"/>
      <c r="C195" s="8"/>
      <c r="D195" s="8"/>
      <c r="E195" s="8"/>
      <c r="F195" s="443"/>
      <c r="G195" s="26"/>
      <c r="H195" s="360" t="s">
        <v>189</v>
      </c>
      <c r="I195" s="381">
        <f>'4 - Demand Agriculture'!B165</f>
        <v>509.97182123961665</v>
      </c>
      <c r="J195" s="381">
        <f>'4 - Demand Agriculture'!D165</f>
        <v>0</v>
      </c>
      <c r="K195" s="381">
        <f>'4 - Demand Agriculture'!F165</f>
        <v>0</v>
      </c>
      <c r="L195" s="381">
        <f>'4 - Demand Agriculture'!H165</f>
        <v>137.33216499652065</v>
      </c>
      <c r="M195" s="381">
        <f>'4 - Demand Agriculture'!J165</f>
        <v>287.81383835623745</v>
      </c>
      <c r="N195" s="381">
        <f>'4 - Demand Agriculture'!L165</f>
        <v>506.1921800216769</v>
      </c>
      <c r="O195" s="381">
        <f>'4 - Demand Agriculture'!N165</f>
        <v>304.67316677876221</v>
      </c>
      <c r="P195" s="381">
        <f>'4 - Demand Agriculture'!P165</f>
        <v>0</v>
      </c>
      <c r="Q195" s="381">
        <f>'4 - Demand Agriculture'!R165</f>
        <v>0</v>
      </c>
      <c r="R195" s="381">
        <f>'4 - Demand Agriculture'!T165</f>
        <v>198.2180262791708</v>
      </c>
      <c r="S195" s="381">
        <f>'4 - Demand Agriculture'!V165</f>
        <v>298.8691356824832</v>
      </c>
      <c r="T195" s="381">
        <f>'4 - Demand Agriculture'!X165</f>
        <v>152.29338992759656</v>
      </c>
      <c r="U195" s="225"/>
      <c r="V195" s="222"/>
      <c r="W195" s="222"/>
      <c r="X195" s="222"/>
      <c r="Y195" s="222"/>
      <c r="Z195" s="355"/>
      <c r="AA195" s="355"/>
      <c r="AB195" s="355"/>
      <c r="AC195" s="355"/>
      <c r="AD195" s="355"/>
      <c r="AE195" s="355"/>
      <c r="AF195" s="355"/>
      <c r="AG195" s="355"/>
      <c r="AH195" s="355"/>
      <c r="AI195" s="355"/>
      <c r="AJ195" s="355"/>
      <c r="AK195" s="354"/>
      <c r="AL195" s="354"/>
      <c r="AM195" s="354"/>
      <c r="AN195" s="354"/>
    </row>
    <row r="196" spans="1:40" customFormat="1" x14ac:dyDescent="0.25">
      <c r="A196" s="8"/>
      <c r="B196" s="8"/>
      <c r="C196" s="8"/>
      <c r="D196" s="8"/>
      <c r="E196" s="8"/>
      <c r="F196" s="443"/>
      <c r="G196" s="13">
        <f>'1 - General Data'!J20</f>
        <v>2033</v>
      </c>
      <c r="H196" s="359" t="s">
        <v>188</v>
      </c>
      <c r="I196" s="383">
        <f>'4 - Demand Agriculture'!B147</f>
        <v>20560.784507036198</v>
      </c>
      <c r="J196" s="383">
        <f>'4 - Demand Agriculture'!D147</f>
        <v>0</v>
      </c>
      <c r="K196" s="383">
        <f>'4 - Demand Agriculture'!F147</f>
        <v>0</v>
      </c>
      <c r="L196" s="383">
        <f>'4 - Demand Agriculture'!H147</f>
        <v>5536.8883784884065</v>
      </c>
      <c r="M196" s="383">
        <f>'4 - Demand Agriculture'!J147</f>
        <v>11603.931947065468</v>
      </c>
      <c r="N196" s="383">
        <f>'4 - Demand Agriculture'!L147</f>
        <v>20408.398854811196</v>
      </c>
      <c r="O196" s="383">
        <f>'4 - Demand Agriculture'!N147</f>
        <v>12283.657775418655</v>
      </c>
      <c r="P196" s="383">
        <f>'4 - Demand Agriculture'!P147</f>
        <v>0</v>
      </c>
      <c r="Q196" s="383">
        <f>'4 - Demand Agriculture'!R147</f>
        <v>0</v>
      </c>
      <c r="R196" s="383">
        <f>'4 - Demand Agriculture'!T147</f>
        <v>7991.6535659352348</v>
      </c>
      <c r="S196" s="383">
        <f>'4 - Demand Agriculture'!V147</f>
        <v>12049.653801723296</v>
      </c>
      <c r="T196" s="383">
        <f>'4 - Demand Agriculture'!X147</f>
        <v>6140.0874356861423</v>
      </c>
      <c r="U196" s="225"/>
      <c r="V196" s="222"/>
      <c r="W196" s="222"/>
      <c r="X196" s="222"/>
      <c r="Y196" s="222"/>
      <c r="Z196" s="355"/>
      <c r="AA196" s="355"/>
      <c r="AB196" s="355"/>
      <c r="AC196" s="355"/>
      <c r="AD196" s="355"/>
      <c r="AE196" s="355"/>
      <c r="AF196" s="355"/>
      <c r="AG196" s="355"/>
      <c r="AH196" s="355"/>
      <c r="AI196" s="355"/>
      <c r="AJ196" s="355"/>
      <c r="AK196" s="354"/>
      <c r="AL196" s="354"/>
      <c r="AM196" s="354"/>
      <c r="AN196" s="354"/>
    </row>
    <row r="197" spans="1:40" customFormat="1" x14ac:dyDescent="0.25">
      <c r="A197" s="8"/>
      <c r="B197" s="8"/>
      <c r="C197" s="8"/>
      <c r="D197" s="8"/>
      <c r="E197" s="8"/>
      <c r="F197" s="443"/>
      <c r="G197" s="26"/>
      <c r="H197" s="360" t="s">
        <v>189</v>
      </c>
      <c r="I197" s="381">
        <f>'4 - Demand Agriculture'!B166</f>
        <v>685.35948356787333</v>
      </c>
      <c r="J197" s="381">
        <f>'4 - Demand Agriculture'!D166</f>
        <v>0</v>
      </c>
      <c r="K197" s="381">
        <f>'4 - Demand Agriculture'!F166</f>
        <v>0</v>
      </c>
      <c r="L197" s="381">
        <f>'4 - Demand Agriculture'!H166</f>
        <v>184.56294594961355</v>
      </c>
      <c r="M197" s="381">
        <f>'4 - Demand Agriculture'!J166</f>
        <v>386.79773156884892</v>
      </c>
      <c r="N197" s="381">
        <f>'4 - Demand Agriculture'!L166</f>
        <v>680.27996182703987</v>
      </c>
      <c r="O197" s="381">
        <f>'4 - Demand Agriculture'!N166</f>
        <v>409.45525918062179</v>
      </c>
      <c r="P197" s="381">
        <f>'4 - Demand Agriculture'!P166</f>
        <v>0</v>
      </c>
      <c r="Q197" s="381">
        <f>'4 - Demand Agriculture'!R166</f>
        <v>0</v>
      </c>
      <c r="R197" s="381">
        <f>'4 - Demand Agriculture'!T166</f>
        <v>266.38845219784116</v>
      </c>
      <c r="S197" s="381">
        <f>'4 - Demand Agriculture'!V166</f>
        <v>401.65512672410989</v>
      </c>
      <c r="T197" s="381">
        <f>'4 - Demand Agriculture'!X166</f>
        <v>204.66958118953806</v>
      </c>
      <c r="U197" s="225"/>
      <c r="V197" s="222"/>
      <c r="W197" s="222"/>
      <c r="X197" s="222"/>
      <c r="Y197" s="222"/>
      <c r="Z197" s="355"/>
      <c r="AA197" s="355"/>
      <c r="AB197" s="355"/>
      <c r="AC197" s="355"/>
      <c r="AD197" s="355"/>
      <c r="AE197" s="355"/>
      <c r="AF197" s="355"/>
      <c r="AG197" s="355"/>
      <c r="AH197" s="355"/>
      <c r="AI197" s="355"/>
      <c r="AJ197" s="355"/>
      <c r="AK197" s="354"/>
      <c r="AL197" s="354"/>
      <c r="AM197" s="354"/>
      <c r="AN197" s="354"/>
    </row>
    <row r="198" spans="1:40" x14ac:dyDescent="0.25">
      <c r="A198" s="38"/>
      <c r="B198" s="38"/>
      <c r="C198" s="38"/>
      <c r="D198" s="38"/>
      <c r="F198" s="26"/>
      <c r="G198" s="32"/>
      <c r="H198" s="32"/>
      <c r="I198" s="32"/>
      <c r="J198" s="83"/>
      <c r="K198" s="420"/>
      <c r="L198" s="421"/>
      <c r="M198" s="86"/>
      <c r="N198" s="87"/>
      <c r="O198" s="32"/>
      <c r="P198" s="32"/>
      <c r="Q198" s="32"/>
      <c r="R198" s="32"/>
      <c r="S198" s="32"/>
      <c r="T198" s="32"/>
      <c r="U198" s="37"/>
    </row>
    <row r="199" spans="1:40" x14ac:dyDescent="0.25">
      <c r="A199" s="38"/>
      <c r="B199" s="38"/>
      <c r="C199" s="38"/>
      <c r="D199" s="38"/>
      <c r="F199" s="40"/>
      <c r="G199" s="40"/>
      <c r="H199" s="40"/>
      <c r="I199" s="40"/>
      <c r="J199" s="88"/>
      <c r="K199" s="89"/>
      <c r="L199" s="90"/>
      <c r="M199" s="91"/>
      <c r="N199" s="344"/>
      <c r="O199" s="40"/>
      <c r="P199" s="40"/>
    </row>
    <row r="200" spans="1:40" x14ac:dyDescent="0.25">
      <c r="A200" s="38"/>
      <c r="B200" s="38"/>
      <c r="C200" s="38"/>
      <c r="D200" s="38"/>
      <c r="F200" s="40"/>
      <c r="G200" s="40"/>
      <c r="H200" s="40"/>
      <c r="I200" s="40"/>
      <c r="J200" s="88"/>
      <c r="K200" s="89"/>
      <c r="L200" s="90"/>
      <c r="M200" s="91"/>
      <c r="N200" s="73"/>
      <c r="O200" s="40"/>
      <c r="P200" s="40"/>
    </row>
    <row r="201" spans="1:40" x14ac:dyDescent="0.25">
      <c r="A201" s="38"/>
      <c r="B201" s="38"/>
      <c r="C201" s="38"/>
      <c r="D201" s="38"/>
      <c r="F201" s="9"/>
      <c r="G201" s="10"/>
      <c r="H201" s="10"/>
      <c r="I201" s="10"/>
      <c r="J201" s="214"/>
      <c r="K201" s="416"/>
      <c r="L201" s="215"/>
      <c r="M201" s="444"/>
      <c r="N201" s="377"/>
      <c r="O201" s="40"/>
      <c r="P201" s="40"/>
    </row>
    <row r="202" spans="1:40" x14ac:dyDescent="0.25">
      <c r="A202" s="38"/>
      <c r="B202" s="38"/>
      <c r="C202" s="38"/>
      <c r="D202" s="38"/>
      <c r="F202" s="13"/>
      <c r="G202" s="14"/>
      <c r="H202" s="14"/>
      <c r="I202" s="979" t="s">
        <v>193</v>
      </c>
      <c r="J202" s="1031"/>
      <c r="K202" s="1031"/>
      <c r="L202" s="1032"/>
      <c r="M202" s="415"/>
      <c r="N202" s="377"/>
      <c r="O202" s="40"/>
      <c r="P202" s="40"/>
    </row>
    <row r="203" spans="1:40" x14ac:dyDescent="0.25">
      <c r="A203" s="38"/>
      <c r="B203" s="38"/>
      <c r="C203" s="38"/>
      <c r="D203" s="38"/>
      <c r="F203" s="13"/>
      <c r="G203" s="14"/>
      <c r="H203" s="14"/>
      <c r="I203" s="1051" t="s">
        <v>36</v>
      </c>
      <c r="J203" s="1052"/>
      <c r="K203" s="1052"/>
      <c r="L203" s="1053"/>
      <c r="M203" s="415"/>
      <c r="N203" s="377"/>
      <c r="O203" s="40"/>
      <c r="P203" s="40"/>
    </row>
    <row r="204" spans="1:40" x14ac:dyDescent="0.25">
      <c r="A204" s="38"/>
      <c r="B204" s="38"/>
      <c r="C204" s="38"/>
      <c r="D204" s="38"/>
      <c r="F204" s="13"/>
      <c r="G204" s="14"/>
      <c r="H204" s="41"/>
      <c r="I204" s="1043" t="s">
        <v>0</v>
      </c>
      <c r="J204" s="1044"/>
      <c r="K204" s="1043" t="s">
        <v>192</v>
      </c>
      <c r="L204" s="1044"/>
      <c r="M204" s="415"/>
      <c r="N204" s="377"/>
      <c r="O204" s="40"/>
      <c r="P204" s="40"/>
    </row>
    <row r="205" spans="1:40" x14ac:dyDescent="0.25">
      <c r="A205" s="38"/>
      <c r="B205" s="38"/>
      <c r="C205" s="38"/>
      <c r="D205" s="38"/>
      <c r="F205" s="13"/>
      <c r="G205" s="14"/>
      <c r="H205" s="15"/>
      <c r="I205" s="14"/>
      <c r="J205" s="14"/>
      <c r="K205" s="14"/>
      <c r="L205" s="14"/>
      <c r="M205" s="415"/>
      <c r="N205" s="377"/>
      <c r="O205" s="40"/>
      <c r="P205" s="40"/>
    </row>
    <row r="206" spans="1:40" x14ac:dyDescent="0.25">
      <c r="A206" s="38"/>
      <c r="B206" s="38"/>
      <c r="C206" s="38"/>
      <c r="D206" s="38"/>
      <c r="F206" s="13"/>
      <c r="G206" s="385">
        <f>G192</f>
        <v>2013</v>
      </c>
      <c r="H206" s="418"/>
      <c r="I206" s="392">
        <f>'4 - Demand Agriculture'!B158</f>
        <v>53471.267113756418</v>
      </c>
      <c r="J206" s="394" t="s">
        <v>194</v>
      </c>
      <c r="K206" s="387">
        <f>'4 - Demand Agriculture'!B176</f>
        <v>146.49662222946964</v>
      </c>
      <c r="L206" s="394" t="s">
        <v>195</v>
      </c>
      <c r="M206" s="415"/>
      <c r="N206" s="377"/>
      <c r="O206" s="40"/>
      <c r="P206" s="40"/>
    </row>
    <row r="207" spans="1:40" x14ac:dyDescent="0.25">
      <c r="A207" s="38"/>
      <c r="B207" s="38"/>
      <c r="C207" s="38"/>
      <c r="D207" s="38"/>
      <c r="F207" s="13"/>
      <c r="G207" s="386"/>
      <c r="H207" s="83"/>
      <c r="I207" s="388"/>
      <c r="J207" s="395"/>
      <c r="K207" s="389"/>
      <c r="L207" s="395"/>
      <c r="M207" s="415"/>
      <c r="N207" s="377"/>
      <c r="O207" s="40"/>
      <c r="P207" s="40"/>
    </row>
    <row r="208" spans="1:40" x14ac:dyDescent="0.25">
      <c r="A208" s="38"/>
      <c r="B208" s="38"/>
      <c r="C208" s="38"/>
      <c r="D208" s="38"/>
      <c r="F208" s="13"/>
      <c r="G208" s="385">
        <f>G194</f>
        <v>2023</v>
      </c>
      <c r="H208" s="418"/>
      <c r="I208" s="393">
        <f>'4 - Demand Agriculture'!B159</f>
        <v>71860.911698461932</v>
      </c>
      <c r="J208" s="394" t="s">
        <v>194</v>
      </c>
      <c r="K208" s="391">
        <f>'4 - Demand Agriculture'!B177</f>
        <v>196.87921013277241</v>
      </c>
      <c r="L208" s="394" t="s">
        <v>195</v>
      </c>
      <c r="M208" s="415"/>
      <c r="N208" s="344"/>
      <c r="O208" s="40"/>
      <c r="P208" s="40"/>
    </row>
    <row r="209" spans="1:17" x14ac:dyDescent="0.25">
      <c r="A209" s="38"/>
      <c r="B209" s="38"/>
      <c r="C209" s="38"/>
      <c r="D209" s="38"/>
      <c r="F209" s="13"/>
      <c r="G209" s="26"/>
      <c r="H209" s="83"/>
      <c r="I209" s="388"/>
      <c r="J209" s="395"/>
      <c r="K209" s="389"/>
      <c r="L209" s="395"/>
      <c r="M209" s="415"/>
      <c r="N209" s="344"/>
      <c r="O209" s="40"/>
      <c r="P209" s="40"/>
    </row>
    <row r="210" spans="1:17" x14ac:dyDescent="0.25">
      <c r="A210" s="38"/>
      <c r="B210" s="38"/>
      <c r="C210" s="38"/>
      <c r="D210" s="38"/>
      <c r="F210" s="13"/>
      <c r="G210" s="13">
        <f>G196</f>
        <v>2033</v>
      </c>
      <c r="H210" s="418"/>
      <c r="I210" s="393">
        <f>'4 - Demand Agriculture'!B160</f>
        <v>96575.056266164596</v>
      </c>
      <c r="J210" s="394" t="s">
        <v>194</v>
      </c>
      <c r="K210" s="391">
        <f>'4 - Demand Agriculture'!B178</f>
        <v>264.58919524976602</v>
      </c>
      <c r="L210" s="394" t="s">
        <v>195</v>
      </c>
      <c r="M210" s="415"/>
      <c r="N210" s="344"/>
      <c r="O210" s="40"/>
      <c r="P210" s="40"/>
    </row>
    <row r="211" spans="1:17" x14ac:dyDescent="0.25">
      <c r="A211" s="38"/>
      <c r="B211" s="38"/>
      <c r="C211" s="38"/>
      <c r="D211" s="38"/>
      <c r="F211" s="13"/>
      <c r="G211" s="26"/>
      <c r="H211" s="83"/>
      <c r="I211" s="388"/>
      <c r="J211" s="390"/>
      <c r="K211" s="389"/>
      <c r="L211" s="390"/>
      <c r="M211" s="415"/>
      <c r="N211" s="344"/>
      <c r="O211" s="40"/>
      <c r="P211" s="40"/>
    </row>
    <row r="212" spans="1:17" x14ac:dyDescent="0.25">
      <c r="A212" s="38"/>
      <c r="B212" s="38"/>
      <c r="C212" s="38"/>
      <c r="D212" s="38"/>
      <c r="F212" s="26"/>
      <c r="G212" s="32"/>
      <c r="H212" s="32"/>
      <c r="I212" s="32"/>
      <c r="J212" s="83"/>
      <c r="K212" s="420"/>
      <c r="L212" s="421"/>
      <c r="M212" s="422"/>
      <c r="N212" s="344"/>
      <c r="O212" s="40"/>
      <c r="P212" s="40"/>
    </row>
    <row r="213" spans="1:17" x14ac:dyDescent="0.25">
      <c r="A213" s="38"/>
      <c r="B213" s="38"/>
      <c r="C213" s="38"/>
      <c r="D213" s="38"/>
      <c r="F213" s="40"/>
      <c r="G213" s="40"/>
      <c r="H213" s="40"/>
      <c r="I213" s="40"/>
      <c r="J213" s="88"/>
      <c r="K213" s="89"/>
      <c r="L213" s="90"/>
      <c r="M213" s="91"/>
      <c r="N213" s="423"/>
      <c r="O213" s="40"/>
      <c r="P213" s="40"/>
    </row>
    <row r="214" spans="1:17" x14ac:dyDescent="0.25">
      <c r="A214" s="38"/>
      <c r="B214" s="38"/>
      <c r="C214" s="38"/>
      <c r="D214" s="38"/>
      <c r="F214" s="40"/>
      <c r="G214" s="40"/>
      <c r="H214" s="40"/>
      <c r="I214" s="40"/>
      <c r="J214" s="88"/>
      <c r="K214" s="89"/>
      <c r="L214" s="90"/>
      <c r="M214" s="91"/>
      <c r="N214" s="423"/>
      <c r="O214" s="40"/>
      <c r="P214" s="40"/>
    </row>
    <row r="215" spans="1:17" x14ac:dyDescent="0.25">
      <c r="A215" s="545" t="s">
        <v>196</v>
      </c>
      <c r="B215" s="401"/>
      <c r="C215" s="402"/>
      <c r="D215" s="400"/>
      <c r="F215" s="9"/>
      <c r="G215" s="10"/>
      <c r="H215" s="10"/>
      <c r="I215" s="11"/>
      <c r="J215" s="10"/>
      <c r="K215" s="10"/>
      <c r="L215" s="10"/>
      <c r="M215" s="10"/>
      <c r="N215" s="10"/>
      <c r="O215" s="10"/>
      <c r="P215" s="10"/>
      <c r="Q215" s="12"/>
    </row>
    <row r="216" spans="1:17" x14ac:dyDescent="0.25">
      <c r="A216" s="38"/>
      <c r="B216" s="67"/>
      <c r="D216" s="38"/>
      <c r="F216" s="13"/>
      <c r="G216" s="60" t="s">
        <v>70</v>
      </c>
      <c r="H216" s="14"/>
      <c r="I216" s="461" t="s">
        <v>239</v>
      </c>
      <c r="J216" s="424"/>
      <c r="K216" s="425"/>
      <c r="L216" s="14"/>
      <c r="M216" s="61"/>
      <c r="N216" s="14"/>
      <c r="O216" s="424"/>
      <c r="P216" s="424"/>
      <c r="Q216" s="456"/>
    </row>
    <row r="217" spans="1:17" x14ac:dyDescent="0.25">
      <c r="A217" s="38"/>
      <c r="B217" s="67"/>
      <c r="D217" s="38"/>
      <c r="F217" s="13"/>
      <c r="G217" s="60"/>
      <c r="H217" s="14"/>
      <c r="I217" s="461"/>
      <c r="J217" s="424"/>
      <c r="K217" s="425"/>
      <c r="L217" s="14"/>
      <c r="M217" s="61"/>
      <c r="N217" s="14"/>
      <c r="O217" s="424"/>
      <c r="P217" s="424"/>
      <c r="Q217" s="456"/>
    </row>
    <row r="218" spans="1:17" x14ac:dyDescent="0.25">
      <c r="A218" s="38"/>
      <c r="B218" s="67"/>
      <c r="D218" s="38"/>
      <c r="F218" s="13"/>
      <c r="G218" s="60"/>
      <c r="H218" s="14"/>
      <c r="I218" s="1028" t="str">
        <f>'5 - Migration'!C10</f>
        <v>Seasonal livestock</v>
      </c>
      <c r="J218" s="825"/>
      <c r="K218" s="1028" t="str">
        <f>'5 - Migration'!G10</f>
        <v># heads</v>
      </c>
      <c r="L218" s="825"/>
      <c r="M218" s="452" t="s">
        <v>21</v>
      </c>
      <c r="N218" s="1016" t="s">
        <v>1</v>
      </c>
      <c r="O218" s="830"/>
      <c r="P218" s="424"/>
      <c r="Q218" s="456"/>
    </row>
    <row r="219" spans="1:17" x14ac:dyDescent="0.25">
      <c r="A219" s="38"/>
      <c r="B219" s="67"/>
      <c r="D219" s="38"/>
      <c r="F219" s="13"/>
      <c r="G219" s="60"/>
      <c r="H219" s="14"/>
      <c r="I219" s="1028" t="str">
        <f>'5 - Migration'!C11</f>
        <v>Cattle</v>
      </c>
      <c r="J219" s="880"/>
      <c r="K219" s="1130">
        <f>IF('5 - Migration'!G11=0,"",'5 - Migration'!G11)</f>
        <v>10000</v>
      </c>
      <c r="L219" s="825"/>
      <c r="M219" s="1013">
        <f>'5 - Migration'!I11</f>
        <v>5550</v>
      </c>
      <c r="N219" s="1017">
        <f>'5 - Migration'!F24</f>
        <v>100</v>
      </c>
      <c r="O219" s="1020" t="s">
        <v>241</v>
      </c>
      <c r="P219" s="424"/>
      <c r="Q219" s="456"/>
    </row>
    <row r="220" spans="1:17" x14ac:dyDescent="0.25">
      <c r="A220" s="38"/>
      <c r="B220" s="67"/>
      <c r="D220" s="38"/>
      <c r="F220" s="13"/>
      <c r="G220" s="60"/>
      <c r="H220" s="14"/>
      <c r="I220" s="1049" t="str">
        <f>'5 - Migration'!C12</f>
        <v>Goats</v>
      </c>
      <c r="J220" s="1050"/>
      <c r="K220" s="1131" t="str">
        <f>IF('5 - Migration'!G12=0,"",'5 - Migration'!G12)</f>
        <v/>
      </c>
      <c r="L220" s="1050"/>
      <c r="M220" s="1014"/>
      <c r="N220" s="1018"/>
      <c r="O220" s="1021"/>
      <c r="P220" s="424"/>
      <c r="Q220" s="456"/>
    </row>
    <row r="221" spans="1:17" x14ac:dyDescent="0.25">
      <c r="A221" s="38"/>
      <c r="B221" s="67"/>
      <c r="D221" s="38"/>
      <c r="F221" s="13"/>
      <c r="G221" s="60"/>
      <c r="H221" s="14"/>
      <c r="I221" s="1038" t="str">
        <f>'5 - Migration'!C13</f>
        <v>Sheep</v>
      </c>
      <c r="J221" s="1034"/>
      <c r="K221" s="1033" t="str">
        <f>IF('5 - Migration'!G13=0,"",'5 - Migration'!G13)</f>
        <v/>
      </c>
      <c r="L221" s="1034"/>
      <c r="M221" s="1014"/>
      <c r="N221" s="1018"/>
      <c r="O221" s="1021"/>
      <c r="P221" s="424"/>
      <c r="Q221" s="456"/>
    </row>
    <row r="222" spans="1:17" x14ac:dyDescent="0.25">
      <c r="A222" s="38"/>
      <c r="B222" s="67"/>
      <c r="D222" s="38"/>
      <c r="F222" s="13"/>
      <c r="G222" s="60"/>
      <c r="H222" s="14"/>
      <c r="I222" s="1054" t="str">
        <f>'5 - Migration'!C14</f>
        <v>Camels</v>
      </c>
      <c r="J222" s="1036"/>
      <c r="K222" s="1035">
        <f>IF('5 - Migration'!G14=0,"",'5 - Migration'!G14)</f>
        <v>500</v>
      </c>
      <c r="L222" s="1036"/>
      <c r="M222" s="1014"/>
      <c r="N222" s="1018"/>
      <c r="O222" s="1021"/>
      <c r="P222" s="424"/>
      <c r="Q222" s="456"/>
    </row>
    <row r="223" spans="1:17" x14ac:dyDescent="0.25">
      <c r="A223" s="38"/>
      <c r="B223" s="67"/>
      <c r="D223" s="38"/>
      <c r="F223" s="13"/>
      <c r="G223" s="60"/>
      <c r="H223" s="14"/>
      <c r="I223" s="1055" t="str">
        <f>'5 - Migration'!C15</f>
        <v>Donkey</v>
      </c>
      <c r="J223" s="881"/>
      <c r="K223" s="1037" t="str">
        <f>IF('5 - Migration'!G15=0,"",'5 - Migration'!G15)</f>
        <v/>
      </c>
      <c r="L223" s="828"/>
      <c r="M223" s="1015"/>
      <c r="N223" s="1019"/>
      <c r="O223" s="1022"/>
      <c r="P223" s="424"/>
      <c r="Q223" s="456"/>
    </row>
    <row r="224" spans="1:17" x14ac:dyDescent="0.25">
      <c r="A224" s="38"/>
      <c r="B224" s="67"/>
      <c r="D224" s="38"/>
      <c r="F224" s="13"/>
      <c r="G224" s="60"/>
      <c r="H224" s="14"/>
      <c r="I224" s="424"/>
      <c r="J224" s="413"/>
      <c r="K224" s="466"/>
      <c r="L224" s="413"/>
      <c r="M224" s="467"/>
      <c r="N224" s="468"/>
      <c r="O224" s="469"/>
      <c r="P224" s="424"/>
      <c r="Q224" s="456"/>
    </row>
    <row r="225" spans="1:22" x14ac:dyDescent="0.25">
      <c r="A225" s="38"/>
      <c r="B225" s="67"/>
      <c r="D225" s="38"/>
      <c r="F225" s="13"/>
      <c r="G225" s="60" t="s">
        <v>71</v>
      </c>
      <c r="H225" s="14"/>
      <c r="I225" s="461" t="s">
        <v>244</v>
      </c>
      <c r="J225" s="413"/>
      <c r="K225" s="466"/>
      <c r="L225" s="413"/>
      <c r="M225" s="467"/>
      <c r="N225" s="468"/>
      <c r="O225" s="469"/>
      <c r="P225" s="424"/>
      <c r="Q225" s="456"/>
    </row>
    <row r="226" spans="1:22" x14ac:dyDescent="0.25">
      <c r="A226" s="38"/>
      <c r="B226" s="67"/>
      <c r="D226" s="38"/>
      <c r="F226" s="13"/>
      <c r="G226" s="47"/>
      <c r="H226" s="14"/>
      <c r="I226" s="424"/>
      <c r="J226" s="424"/>
      <c r="K226" s="425"/>
      <c r="L226" s="14"/>
      <c r="M226" s="15"/>
      <c r="N226" s="14"/>
      <c r="O226" s="417"/>
      <c r="P226" s="417"/>
      <c r="Q226" s="72"/>
    </row>
    <row r="227" spans="1:22" x14ac:dyDescent="0.25">
      <c r="A227" s="38"/>
      <c r="B227" s="67"/>
      <c r="D227" s="38"/>
      <c r="F227" s="13"/>
      <c r="G227" s="47"/>
      <c r="H227" s="14"/>
      <c r="I227" s="1070" t="s">
        <v>242</v>
      </c>
      <c r="J227" s="837"/>
      <c r="K227" s="1023" t="s">
        <v>245</v>
      </c>
      <c r="L227" s="1024" t="s">
        <v>242</v>
      </c>
      <c r="M227" s="837"/>
      <c r="N227" s="1023" t="s">
        <v>245</v>
      </c>
      <c r="O227" s="425"/>
      <c r="P227" s="413"/>
      <c r="Q227" s="456"/>
    </row>
    <row r="228" spans="1:22" x14ac:dyDescent="0.25">
      <c r="A228" s="38"/>
      <c r="B228" s="67"/>
      <c r="D228" s="38"/>
      <c r="F228" s="13"/>
      <c r="G228" s="14"/>
      <c r="H228" s="14"/>
      <c r="I228" s="842"/>
      <c r="J228" s="843"/>
      <c r="K228" s="828"/>
      <c r="L228" s="843"/>
      <c r="M228" s="843"/>
      <c r="N228" s="828"/>
      <c r="O228" s="413"/>
      <c r="P228" s="413"/>
      <c r="Q228" s="18"/>
    </row>
    <row r="229" spans="1:22" x14ac:dyDescent="0.25">
      <c r="A229" s="38"/>
      <c r="B229" s="67"/>
      <c r="D229" s="38"/>
      <c r="F229" s="13"/>
      <c r="G229" s="14"/>
      <c r="H229" s="14"/>
      <c r="I229" s="900" t="str">
        <f>'5 - Migration'!B31</f>
        <v>January</v>
      </c>
      <c r="J229" s="876"/>
      <c r="K229" s="53" t="str">
        <f>IF('5 - Migration'!B32=0,"","X")</f>
        <v>X</v>
      </c>
      <c r="L229" s="900" t="str">
        <f>'5 - Migration'!N31</f>
        <v>July</v>
      </c>
      <c r="M229" s="876"/>
      <c r="N229" s="65" t="str">
        <f>IF('5 - Migration'!N32=0,"","X")</f>
        <v/>
      </c>
      <c r="O229" s="53"/>
      <c r="P229" s="413"/>
      <c r="Q229" s="18"/>
    </row>
    <row r="230" spans="1:22" x14ac:dyDescent="0.25">
      <c r="A230" s="38"/>
      <c r="B230" s="67"/>
      <c r="D230" s="38"/>
      <c r="F230" s="462"/>
      <c r="G230" s="463"/>
      <c r="H230" s="463"/>
      <c r="I230" s="1025" t="str">
        <f>'5 - Migration'!D31</f>
        <v>February</v>
      </c>
      <c r="J230" s="1026"/>
      <c r="K230" s="471" t="str">
        <f>IF('5 - Migration'!D32=0,"","X")</f>
        <v/>
      </c>
      <c r="L230" s="1025" t="str">
        <f>'5 - Migration'!P31</f>
        <v>August</v>
      </c>
      <c r="M230" s="1026"/>
      <c r="N230" s="472" t="str">
        <f>IF('5 - Migration'!P32=0,"","X")</f>
        <v/>
      </c>
      <c r="O230" s="53"/>
      <c r="P230" s="413"/>
      <c r="Q230" s="18"/>
    </row>
    <row r="231" spans="1:22" x14ac:dyDescent="0.25">
      <c r="A231" s="38"/>
      <c r="B231" s="67"/>
      <c r="D231" s="38"/>
      <c r="F231" s="464"/>
      <c r="G231" s="463"/>
      <c r="H231" s="463"/>
      <c r="I231" s="1025" t="str">
        <f>'5 - Migration'!F31</f>
        <v>March</v>
      </c>
      <c r="J231" s="1026"/>
      <c r="K231" s="471" t="str">
        <f>IF('5 - Migration'!F32=0,"","X")</f>
        <v/>
      </c>
      <c r="L231" s="1025" t="str">
        <f>'5 - Migration'!R31</f>
        <v>September</v>
      </c>
      <c r="M231" s="1026"/>
      <c r="N231" s="472" t="str">
        <f>IF('5 - Migration'!R32=0,"","X")</f>
        <v>X</v>
      </c>
      <c r="O231" s="53"/>
      <c r="P231" s="413"/>
      <c r="Q231" s="18"/>
    </row>
    <row r="232" spans="1:22" x14ac:dyDescent="0.25">
      <c r="A232" s="38"/>
      <c r="B232" s="67"/>
      <c r="D232" s="38"/>
      <c r="F232" s="464"/>
      <c r="G232" s="463"/>
      <c r="H232" s="463"/>
      <c r="I232" s="1025" t="str">
        <f>'5 - Migration'!H31</f>
        <v>April</v>
      </c>
      <c r="J232" s="1026"/>
      <c r="K232" s="471" t="str">
        <f>IF('5 - Migration'!H32=0,"","X")</f>
        <v/>
      </c>
      <c r="L232" s="1025" t="str">
        <f>'5 - Migration'!T31</f>
        <v>October</v>
      </c>
      <c r="M232" s="1026"/>
      <c r="N232" s="472" t="str">
        <f>IF('5 - Migration'!T32=0,"","X")</f>
        <v>X</v>
      </c>
      <c r="O232" s="53"/>
      <c r="P232" s="413"/>
      <c r="Q232" s="65"/>
    </row>
    <row r="233" spans="1:22" x14ac:dyDescent="0.25">
      <c r="A233" s="38"/>
      <c r="B233" s="67"/>
      <c r="D233" s="38"/>
      <c r="F233" s="464"/>
      <c r="G233" s="463"/>
      <c r="H233" s="463"/>
      <c r="I233" s="1025" t="str">
        <f>'5 - Migration'!J31</f>
        <v>May</v>
      </c>
      <c r="J233" s="1026"/>
      <c r="K233" s="471" t="str">
        <f>IF('5 - Migration'!J32=0,"","X")</f>
        <v/>
      </c>
      <c r="L233" s="1025" t="str">
        <f>'5 - Migration'!V31</f>
        <v>November</v>
      </c>
      <c r="M233" s="1026"/>
      <c r="N233" s="472" t="str">
        <f>IF('5 - Migration'!V32=0,"","X")</f>
        <v>X</v>
      </c>
      <c r="O233" s="53"/>
      <c r="P233" s="413"/>
      <c r="Q233" s="65"/>
    </row>
    <row r="234" spans="1:22" x14ac:dyDescent="0.25">
      <c r="A234" s="38"/>
      <c r="B234" s="67"/>
      <c r="D234" s="38"/>
      <c r="F234" s="464"/>
      <c r="G234" s="463"/>
      <c r="H234" s="463"/>
      <c r="I234" s="1027" t="str">
        <f>'5 - Migration'!L31</f>
        <v>June</v>
      </c>
      <c r="J234" s="881"/>
      <c r="K234" s="427" t="str">
        <f>IF('5 - Migration'!L32=0,"","X")</f>
        <v/>
      </c>
      <c r="L234" s="1027" t="str">
        <f>'5 - Migration'!X31</f>
        <v>December</v>
      </c>
      <c r="M234" s="881"/>
      <c r="N234" s="470" t="str">
        <f>IF('5 - Migration'!X32=0,"","X")</f>
        <v>X</v>
      </c>
      <c r="O234" s="53"/>
      <c r="P234" s="413"/>
      <c r="Q234" s="65"/>
    </row>
    <row r="235" spans="1:22" x14ac:dyDescent="0.25">
      <c r="A235" s="38"/>
      <c r="B235" s="67"/>
      <c r="D235" s="38"/>
      <c r="F235" s="13"/>
      <c r="G235" s="14"/>
      <c r="H235" s="14"/>
      <c r="I235" s="413"/>
      <c r="J235" s="413"/>
      <c r="K235" s="53"/>
      <c r="L235" s="413"/>
      <c r="M235" s="465"/>
      <c r="N235" s="417"/>
      <c r="O235" s="53"/>
      <c r="P235" s="53"/>
      <c r="Q235" s="65"/>
    </row>
    <row r="236" spans="1:22" x14ac:dyDescent="0.25">
      <c r="A236" s="38"/>
      <c r="B236" s="67"/>
      <c r="D236" s="38"/>
      <c r="F236" s="13"/>
      <c r="G236" s="60" t="s">
        <v>243</v>
      </c>
      <c r="H236" s="14"/>
      <c r="I236" s="413"/>
      <c r="J236" s="413"/>
      <c r="K236" s="53"/>
      <c r="L236" s="413"/>
      <c r="M236" s="15"/>
      <c r="N236" s="14"/>
      <c r="O236" s="53"/>
      <c r="P236" s="53"/>
      <c r="Q236" s="65"/>
      <c r="R236" s="54"/>
      <c r="S236" s="40"/>
      <c r="T236" s="40"/>
      <c r="U236" s="40"/>
      <c r="V236" s="40"/>
    </row>
    <row r="237" spans="1:22" x14ac:dyDescent="0.25">
      <c r="A237" s="38"/>
      <c r="B237" s="67"/>
      <c r="D237" s="38"/>
      <c r="F237" s="13"/>
      <c r="G237" s="1011" t="s">
        <v>240</v>
      </c>
      <c r="H237" s="1012"/>
      <c r="I237" s="36" t="s">
        <v>23</v>
      </c>
      <c r="J237" s="14"/>
      <c r="K237" s="14"/>
      <c r="L237" s="14"/>
      <c r="M237" s="15"/>
      <c r="N237" s="14"/>
      <c r="O237" s="14"/>
      <c r="P237" s="14"/>
      <c r="Q237" s="18"/>
      <c r="R237" s="40"/>
      <c r="S237" s="40"/>
      <c r="T237" s="40"/>
      <c r="U237" s="40"/>
      <c r="V237" s="40"/>
    </row>
    <row r="238" spans="1:22" x14ac:dyDescent="0.25">
      <c r="A238" s="38"/>
      <c r="B238" s="67"/>
      <c r="D238" s="38"/>
      <c r="F238" s="26"/>
      <c r="G238" s="32"/>
      <c r="H238" s="32"/>
      <c r="I238" s="35"/>
      <c r="J238" s="32"/>
      <c r="K238" s="32"/>
      <c r="L238" s="32"/>
      <c r="M238" s="32"/>
      <c r="N238" s="32"/>
      <c r="O238" s="32"/>
      <c r="P238" s="32"/>
      <c r="Q238" s="37"/>
      <c r="R238" s="40"/>
      <c r="S238" s="40"/>
      <c r="T238" s="40"/>
      <c r="U238" s="40"/>
      <c r="V238" s="40"/>
    </row>
    <row r="239" spans="1:22" x14ac:dyDescent="0.25">
      <c r="A239" s="38"/>
      <c r="B239" s="67"/>
      <c r="D239" s="38"/>
      <c r="F239" s="40"/>
      <c r="G239" s="40"/>
      <c r="H239" s="40"/>
      <c r="I239" s="40"/>
      <c r="J239" s="88"/>
      <c r="K239" s="89"/>
      <c r="L239" s="90"/>
      <c r="M239" s="91"/>
      <c r="N239" s="423"/>
      <c r="O239" s="40"/>
      <c r="P239" s="40"/>
    </row>
    <row r="240" spans="1:22" x14ac:dyDescent="0.25">
      <c r="A240" s="38"/>
      <c r="B240" s="67"/>
      <c r="D240" s="38"/>
      <c r="F240" s="40"/>
      <c r="G240" s="40"/>
      <c r="H240" s="40"/>
      <c r="I240" s="40"/>
      <c r="J240" s="88"/>
      <c r="K240" s="89"/>
      <c r="L240" s="90"/>
      <c r="M240" s="91"/>
      <c r="N240" s="423"/>
      <c r="O240" s="40"/>
      <c r="P240" s="40"/>
    </row>
    <row r="241" spans="1:40" x14ac:dyDescent="0.25">
      <c r="A241" s="38"/>
      <c r="B241" s="38"/>
      <c r="C241" s="38"/>
      <c r="D241" s="38"/>
      <c r="F241" s="40"/>
      <c r="G241" s="40"/>
      <c r="H241" s="40"/>
      <c r="I241" s="40"/>
      <c r="J241" s="88"/>
      <c r="K241" s="89"/>
      <c r="L241" s="90"/>
      <c r="M241" s="91"/>
      <c r="N241" s="344"/>
      <c r="O241" s="40"/>
      <c r="P241" s="40"/>
    </row>
    <row r="242" spans="1:40" x14ac:dyDescent="0.25">
      <c r="F242" s="9"/>
      <c r="G242" s="10"/>
      <c r="H242" s="10"/>
      <c r="I242" s="10"/>
      <c r="J242" s="214"/>
      <c r="K242" s="416"/>
      <c r="L242" s="215"/>
      <c r="M242" s="216"/>
      <c r="N242" s="217"/>
      <c r="O242" s="10"/>
      <c r="P242" s="10"/>
      <c r="Q242" s="10"/>
      <c r="R242" s="10"/>
      <c r="S242" s="10"/>
      <c r="T242" s="10"/>
      <c r="U242" s="12"/>
    </row>
    <row r="243" spans="1:40" x14ac:dyDescent="0.25">
      <c r="A243" s="38"/>
      <c r="B243" s="67"/>
      <c r="D243" s="38"/>
      <c r="F243" s="13"/>
      <c r="G243" s="14"/>
      <c r="H243" s="356"/>
      <c r="I243" s="979" t="s">
        <v>198</v>
      </c>
      <c r="J243" s="980"/>
      <c r="K243" s="980"/>
      <c r="L243" s="980"/>
      <c r="M243" s="980"/>
      <c r="N243" s="980"/>
      <c r="O243" s="980"/>
      <c r="P243" s="980"/>
      <c r="Q243" s="980"/>
      <c r="R243" s="980"/>
      <c r="S243" s="980"/>
      <c r="T243" s="981"/>
      <c r="U243" s="18"/>
    </row>
    <row r="244" spans="1:40" x14ac:dyDescent="0.25">
      <c r="A244" s="38"/>
      <c r="B244" s="67"/>
      <c r="D244" s="38"/>
      <c r="F244" s="13"/>
      <c r="G244" s="14"/>
      <c r="H244" s="356"/>
      <c r="I244" s="1051" t="s">
        <v>197</v>
      </c>
      <c r="J244" s="980"/>
      <c r="K244" s="980"/>
      <c r="L244" s="980"/>
      <c r="M244" s="980"/>
      <c r="N244" s="980"/>
      <c r="O244" s="980"/>
      <c r="P244" s="980"/>
      <c r="Q244" s="980"/>
      <c r="R244" s="980"/>
      <c r="S244" s="980"/>
      <c r="T244" s="981"/>
      <c r="U244" s="18"/>
    </row>
    <row r="245" spans="1:40" s="234" customFormat="1" ht="15" customHeight="1" x14ac:dyDescent="0.25">
      <c r="A245" s="354"/>
      <c r="B245" s="354"/>
      <c r="C245" s="354"/>
      <c r="D245" s="354"/>
      <c r="E245" s="354"/>
      <c r="F245" s="441"/>
      <c r="G245" s="14"/>
      <c r="H245" s="41"/>
      <c r="I245" s="384" t="s">
        <v>92</v>
      </c>
      <c r="J245" s="384" t="s">
        <v>93</v>
      </c>
      <c r="K245" s="384" t="s">
        <v>94</v>
      </c>
      <c r="L245" s="384" t="s">
        <v>95</v>
      </c>
      <c r="M245" s="384" t="s">
        <v>96</v>
      </c>
      <c r="N245" s="384" t="s">
        <v>97</v>
      </c>
      <c r="O245" s="384" t="s">
        <v>98</v>
      </c>
      <c r="P245" s="384" t="s">
        <v>99</v>
      </c>
      <c r="Q245" s="384" t="s">
        <v>100</v>
      </c>
      <c r="R245" s="384" t="s">
        <v>101</v>
      </c>
      <c r="S245" s="384" t="s">
        <v>102</v>
      </c>
      <c r="T245" s="384" t="s">
        <v>103</v>
      </c>
      <c r="U245" s="225"/>
      <c r="V245" s="355"/>
      <c r="W245" s="222"/>
      <c r="X245" s="355"/>
      <c r="Y245" s="222"/>
      <c r="Z245" s="355"/>
      <c r="AA245" s="355"/>
      <c r="AB245" s="355"/>
      <c r="AC245" s="355"/>
      <c r="AD245" s="355"/>
      <c r="AE245" s="355"/>
      <c r="AF245" s="355"/>
      <c r="AG245" s="355"/>
      <c r="AH245" s="355"/>
      <c r="AI245" s="355"/>
      <c r="AJ245" s="355"/>
      <c r="AK245" s="354"/>
      <c r="AL245" s="354"/>
      <c r="AM245" s="354"/>
      <c r="AN245" s="354"/>
    </row>
    <row r="246" spans="1:40" x14ac:dyDescent="0.25">
      <c r="F246" s="13"/>
      <c r="G246" s="14"/>
      <c r="H246" s="15"/>
      <c r="I246" s="14"/>
      <c r="J246" s="14"/>
      <c r="K246" s="14"/>
      <c r="L246" s="14"/>
      <c r="M246" s="14"/>
      <c r="N246" s="14"/>
      <c r="O246" s="14"/>
      <c r="P246" s="14"/>
      <c r="Q246" s="14"/>
      <c r="R246" s="14"/>
      <c r="S246" s="14"/>
      <c r="T246" s="14"/>
      <c r="U246" s="18"/>
    </row>
    <row r="247" spans="1:40" s="234" customFormat="1" ht="15" customHeight="1" x14ac:dyDescent="0.25">
      <c r="A247" s="354"/>
      <c r="B247" s="354"/>
      <c r="C247" s="354"/>
      <c r="D247" s="354"/>
      <c r="E247" s="354"/>
      <c r="F247" s="442"/>
      <c r="G247" s="357">
        <f>'5 - Migration'!A39</f>
        <v>2013</v>
      </c>
      <c r="H247" s="359" t="s">
        <v>188</v>
      </c>
      <c r="I247" s="380">
        <f>'5 - Migration'!B39</f>
        <v>4163.5</v>
      </c>
      <c r="J247" s="380">
        <f>'5 - Migration'!D39</f>
        <v>0</v>
      </c>
      <c r="K247" s="380">
        <f>'5 - Migration'!F39</f>
        <v>0</v>
      </c>
      <c r="L247" s="380">
        <f>'5 - Migration'!H39</f>
        <v>0</v>
      </c>
      <c r="M247" s="380">
        <f>'5 - Migration'!J39</f>
        <v>0</v>
      </c>
      <c r="N247" s="380">
        <f>'5 - Migration'!L39</f>
        <v>0</v>
      </c>
      <c r="O247" s="380">
        <f>'5 - Migration'!N39</f>
        <v>0</v>
      </c>
      <c r="P247" s="380">
        <f>'5 - Migration'!P39</f>
        <v>0</v>
      </c>
      <c r="Q247" s="380">
        <f>'5 - Migration'!R39</f>
        <v>4163.5</v>
      </c>
      <c r="R247" s="380">
        <f>'5 - Migration'!T39</f>
        <v>6661.6</v>
      </c>
      <c r="S247" s="380">
        <f>'5 - Migration'!V39</f>
        <v>8327</v>
      </c>
      <c r="T247" s="380">
        <f>'5 - Migration'!X39</f>
        <v>6661.6</v>
      </c>
      <c r="U247" s="225"/>
      <c r="V247" s="222"/>
      <c r="W247" s="222"/>
      <c r="X247" s="222"/>
      <c r="Y247" s="222"/>
      <c r="Z247" s="355"/>
      <c r="AA247" s="355"/>
      <c r="AB247" s="355"/>
      <c r="AC247" s="355"/>
      <c r="AD247" s="355"/>
      <c r="AE247" s="355"/>
      <c r="AF247" s="355"/>
      <c r="AG247" s="355"/>
      <c r="AH247" s="355"/>
      <c r="AI247" s="355"/>
      <c r="AJ247" s="355"/>
      <c r="AK247" s="354"/>
      <c r="AL247" s="354"/>
      <c r="AM247" s="354"/>
      <c r="AN247" s="354"/>
    </row>
    <row r="248" spans="1:40" s="234" customFormat="1" x14ac:dyDescent="0.25">
      <c r="A248" s="354"/>
      <c r="B248" s="354"/>
      <c r="C248" s="354"/>
      <c r="D248" s="354"/>
      <c r="E248" s="354"/>
      <c r="F248" s="443"/>
      <c r="G248" s="358"/>
      <c r="H248" s="360" t="s">
        <v>189</v>
      </c>
      <c r="I248" s="381">
        <f>I247/30</f>
        <v>138.78333333333333</v>
      </c>
      <c r="J248" s="381">
        <f t="shared" ref="J248:T248" si="5">J247/30</f>
        <v>0</v>
      </c>
      <c r="K248" s="381">
        <f t="shared" si="5"/>
        <v>0</v>
      </c>
      <c r="L248" s="381">
        <f t="shared" si="5"/>
        <v>0</v>
      </c>
      <c r="M248" s="381">
        <f t="shared" si="5"/>
        <v>0</v>
      </c>
      <c r="N248" s="381">
        <f t="shared" si="5"/>
        <v>0</v>
      </c>
      <c r="O248" s="381">
        <f t="shared" si="5"/>
        <v>0</v>
      </c>
      <c r="P248" s="381">
        <f t="shared" si="5"/>
        <v>0</v>
      </c>
      <c r="Q248" s="381">
        <f t="shared" si="5"/>
        <v>138.78333333333333</v>
      </c>
      <c r="R248" s="381">
        <f t="shared" si="5"/>
        <v>222.05333333333334</v>
      </c>
      <c r="S248" s="381">
        <f t="shared" si="5"/>
        <v>277.56666666666666</v>
      </c>
      <c r="T248" s="381">
        <f t="shared" si="5"/>
        <v>222.05333333333334</v>
      </c>
      <c r="U248" s="225"/>
      <c r="V248" s="222"/>
      <c r="W248" s="222"/>
      <c r="X248" s="222"/>
      <c r="Y248" s="222"/>
      <c r="Z248" s="355"/>
      <c r="AA248" s="355"/>
      <c r="AB248" s="355"/>
      <c r="AC248" s="355"/>
      <c r="AD248" s="355"/>
      <c r="AE248" s="355"/>
      <c r="AF248" s="355"/>
      <c r="AG248" s="355"/>
      <c r="AH248" s="355"/>
      <c r="AI248" s="355"/>
      <c r="AJ248" s="355"/>
      <c r="AK248" s="354"/>
      <c r="AL248" s="354"/>
      <c r="AM248" s="354"/>
      <c r="AN248" s="354"/>
    </row>
    <row r="249" spans="1:40" s="234" customFormat="1" x14ac:dyDescent="0.25">
      <c r="A249" s="354"/>
      <c r="B249" s="354"/>
      <c r="C249" s="354"/>
      <c r="D249" s="354"/>
      <c r="E249" s="354"/>
      <c r="F249" s="443"/>
      <c r="G249" s="357">
        <f>'5 - Migration'!A40</f>
        <v>2023</v>
      </c>
      <c r="H249" s="359" t="s">
        <v>188</v>
      </c>
      <c r="I249" s="382">
        <f>'5 - Migration'!B40</f>
        <v>5595.3958453992509</v>
      </c>
      <c r="J249" s="382">
        <f>'5 - Migration'!D40</f>
        <v>0</v>
      </c>
      <c r="K249" s="382">
        <f>'5 - Migration'!F40</f>
        <v>0</v>
      </c>
      <c r="L249" s="382">
        <f>'5 - Migration'!H40</f>
        <v>0</v>
      </c>
      <c r="M249" s="382">
        <f>'5 - Migration'!J40</f>
        <v>0</v>
      </c>
      <c r="N249" s="382">
        <f>'5 - Migration'!L40</f>
        <v>0</v>
      </c>
      <c r="O249" s="382">
        <f>'5 - Migration'!N40</f>
        <v>0</v>
      </c>
      <c r="P249" s="382">
        <f>'5 - Migration'!P40</f>
        <v>0</v>
      </c>
      <c r="Q249" s="382">
        <f>'5 - Migration'!R40</f>
        <v>5595.3958453992509</v>
      </c>
      <c r="R249" s="382">
        <f>'5 - Migration'!T40</f>
        <v>8952.6333526388025</v>
      </c>
      <c r="S249" s="382">
        <f>'5 - Migration'!V40</f>
        <v>11190.791690798502</v>
      </c>
      <c r="T249" s="382">
        <f>'5 - Migration'!X40</f>
        <v>8952.6333526388025</v>
      </c>
      <c r="U249" s="225"/>
      <c r="V249" s="222"/>
      <c r="W249" s="222"/>
      <c r="X249" s="222"/>
      <c r="Y249" s="222"/>
      <c r="Z249" s="355"/>
      <c r="AA249" s="355"/>
      <c r="AB249" s="355"/>
      <c r="AC249" s="355"/>
      <c r="AD249" s="355"/>
      <c r="AE249" s="355"/>
      <c r="AF249" s="355"/>
      <c r="AG249" s="355"/>
      <c r="AH249" s="355"/>
      <c r="AI249" s="355"/>
      <c r="AJ249" s="355"/>
      <c r="AK249" s="354"/>
      <c r="AL249" s="354"/>
      <c r="AM249" s="354"/>
      <c r="AN249" s="354"/>
    </row>
    <row r="250" spans="1:40" customFormat="1" x14ac:dyDescent="0.25">
      <c r="A250" s="8"/>
      <c r="B250" s="8"/>
      <c r="C250" s="8"/>
      <c r="D250" s="8"/>
      <c r="E250" s="8"/>
      <c r="F250" s="443"/>
      <c r="G250" s="26"/>
      <c r="H250" s="360" t="s">
        <v>189</v>
      </c>
      <c r="I250" s="381">
        <f>I249/30</f>
        <v>186.51319484664171</v>
      </c>
      <c r="J250" s="381">
        <f t="shared" ref="J250:T250" si="6">J249/30</f>
        <v>0</v>
      </c>
      <c r="K250" s="381">
        <f t="shared" si="6"/>
        <v>0</v>
      </c>
      <c r="L250" s="381">
        <f t="shared" si="6"/>
        <v>0</v>
      </c>
      <c r="M250" s="381">
        <f t="shared" si="6"/>
        <v>0</v>
      </c>
      <c r="N250" s="381">
        <f t="shared" si="6"/>
        <v>0</v>
      </c>
      <c r="O250" s="381">
        <f t="shared" si="6"/>
        <v>0</v>
      </c>
      <c r="P250" s="381">
        <f t="shared" si="6"/>
        <v>0</v>
      </c>
      <c r="Q250" s="381">
        <f t="shared" si="6"/>
        <v>186.51319484664171</v>
      </c>
      <c r="R250" s="381">
        <f t="shared" si="6"/>
        <v>298.42111175462674</v>
      </c>
      <c r="S250" s="381">
        <f t="shared" si="6"/>
        <v>373.02638969328342</v>
      </c>
      <c r="T250" s="381">
        <f t="shared" si="6"/>
        <v>298.42111175462674</v>
      </c>
      <c r="U250" s="225"/>
      <c r="V250" s="222"/>
      <c r="W250" s="222"/>
      <c r="X250" s="222"/>
      <c r="Y250" s="222"/>
      <c r="Z250" s="355"/>
      <c r="AA250" s="355"/>
      <c r="AB250" s="355"/>
      <c r="AC250" s="355"/>
      <c r="AD250" s="355"/>
      <c r="AE250" s="355"/>
      <c r="AF250" s="355"/>
      <c r="AG250" s="355"/>
      <c r="AH250" s="355"/>
      <c r="AI250" s="355"/>
      <c r="AJ250" s="355"/>
      <c r="AK250" s="354"/>
      <c r="AL250" s="354"/>
      <c r="AM250" s="354"/>
      <c r="AN250" s="354"/>
    </row>
    <row r="251" spans="1:40" customFormat="1" x14ac:dyDescent="0.25">
      <c r="A251" s="8"/>
      <c r="B251" s="8"/>
      <c r="C251" s="8"/>
      <c r="D251" s="8"/>
      <c r="E251" s="8"/>
      <c r="F251" s="443"/>
      <c r="G251" s="13">
        <f>'5 - Migration'!A41</f>
        <v>2033</v>
      </c>
      <c r="H251" s="359" t="s">
        <v>188</v>
      </c>
      <c r="I251" s="383">
        <f>'5 - Migration'!B41</f>
        <v>7519.7441255461017</v>
      </c>
      <c r="J251" s="383">
        <f>'5 - Migration'!D41</f>
        <v>0</v>
      </c>
      <c r="K251" s="383">
        <f>'5 - Migration'!F41</f>
        <v>0</v>
      </c>
      <c r="L251" s="383">
        <f>'5 - Migration'!H41</f>
        <v>0</v>
      </c>
      <c r="M251" s="383">
        <f>'5 - Migration'!J41</f>
        <v>0</v>
      </c>
      <c r="N251" s="383">
        <f>'5 - Migration'!L41</f>
        <v>0</v>
      </c>
      <c r="O251" s="383">
        <f>'5 - Migration'!N41</f>
        <v>0</v>
      </c>
      <c r="P251" s="383">
        <f>'5 - Migration'!P41</f>
        <v>0</v>
      </c>
      <c r="Q251" s="383">
        <f>'5 - Migration'!R41</f>
        <v>7519.7441255461017</v>
      </c>
      <c r="R251" s="383">
        <f>'5 - Migration'!T41</f>
        <v>12031.590600873764</v>
      </c>
      <c r="S251" s="383">
        <f>'5 - Migration'!V41</f>
        <v>15039.488251092203</v>
      </c>
      <c r="T251" s="383">
        <f>'5 - Migration'!X41</f>
        <v>12031.590600873764</v>
      </c>
      <c r="U251" s="225"/>
      <c r="V251" s="222"/>
      <c r="W251" s="222"/>
      <c r="X251" s="222"/>
      <c r="Y251" s="222"/>
      <c r="Z251" s="355"/>
      <c r="AA251" s="355"/>
      <c r="AB251" s="355"/>
      <c r="AC251" s="355"/>
      <c r="AD251" s="355"/>
      <c r="AE251" s="355"/>
      <c r="AF251" s="355"/>
      <c r="AG251" s="355"/>
      <c r="AH251" s="355"/>
      <c r="AI251" s="355"/>
      <c r="AJ251" s="355"/>
      <c r="AK251" s="354"/>
      <c r="AL251" s="354"/>
      <c r="AM251" s="354"/>
      <c r="AN251" s="354"/>
    </row>
    <row r="252" spans="1:40" customFormat="1" x14ac:dyDescent="0.25">
      <c r="A252" s="8"/>
      <c r="B252" s="8"/>
      <c r="C252" s="8"/>
      <c r="D252" s="8"/>
      <c r="E252" s="8"/>
      <c r="F252" s="443"/>
      <c r="G252" s="26"/>
      <c r="H252" s="360" t="s">
        <v>189</v>
      </c>
      <c r="I252" s="381">
        <f t="shared" ref="I252:T252" si="7">I251/30</f>
        <v>250.6581375182034</v>
      </c>
      <c r="J252" s="381">
        <f t="shared" si="7"/>
        <v>0</v>
      </c>
      <c r="K252" s="381">
        <f t="shared" si="7"/>
        <v>0</v>
      </c>
      <c r="L252" s="381">
        <f t="shared" si="7"/>
        <v>0</v>
      </c>
      <c r="M252" s="381">
        <f t="shared" si="7"/>
        <v>0</v>
      </c>
      <c r="N252" s="381">
        <f t="shared" si="7"/>
        <v>0</v>
      </c>
      <c r="O252" s="381">
        <f t="shared" si="7"/>
        <v>0</v>
      </c>
      <c r="P252" s="381">
        <f t="shared" si="7"/>
        <v>0</v>
      </c>
      <c r="Q252" s="381">
        <f t="shared" si="7"/>
        <v>250.6581375182034</v>
      </c>
      <c r="R252" s="381">
        <f t="shared" si="7"/>
        <v>401.05302002912543</v>
      </c>
      <c r="S252" s="381">
        <f t="shared" si="7"/>
        <v>501.31627503640681</v>
      </c>
      <c r="T252" s="381">
        <f t="shared" si="7"/>
        <v>401.05302002912543</v>
      </c>
      <c r="U252" s="225"/>
      <c r="V252" s="222"/>
      <c r="W252" s="222"/>
      <c r="X252" s="222"/>
      <c r="Y252" s="222"/>
      <c r="Z252" s="355"/>
      <c r="AA252" s="355"/>
      <c r="AB252" s="355"/>
      <c r="AC252" s="355"/>
      <c r="AD252" s="355"/>
      <c r="AE252" s="355"/>
      <c r="AF252" s="355"/>
      <c r="AG252" s="355"/>
      <c r="AH252" s="355"/>
      <c r="AI252" s="355"/>
      <c r="AJ252" s="355"/>
      <c r="AK252" s="354"/>
      <c r="AL252" s="354"/>
      <c r="AM252" s="354"/>
      <c r="AN252" s="354"/>
    </row>
    <row r="253" spans="1:40" x14ac:dyDescent="0.25">
      <c r="A253" s="38"/>
      <c r="B253" s="38"/>
      <c r="C253" s="38"/>
      <c r="D253" s="38"/>
      <c r="F253" s="26"/>
      <c r="G253" s="32"/>
      <c r="H253" s="32"/>
      <c r="I253" s="32"/>
      <c r="J253" s="83"/>
      <c r="K253" s="420"/>
      <c r="L253" s="421"/>
      <c r="M253" s="86"/>
      <c r="N253" s="87"/>
      <c r="O253" s="32"/>
      <c r="P253" s="32"/>
      <c r="Q253" s="32"/>
      <c r="R253" s="32"/>
      <c r="S253" s="32"/>
      <c r="T253" s="32"/>
      <c r="U253" s="37"/>
    </row>
    <row r="254" spans="1:40" x14ac:dyDescent="0.25">
      <c r="A254" s="38"/>
      <c r="B254" s="38"/>
      <c r="C254" s="38"/>
      <c r="D254" s="38"/>
      <c r="F254" s="40"/>
      <c r="G254" s="40"/>
      <c r="H254" s="40"/>
      <c r="I254" s="40"/>
      <c r="J254" s="88"/>
      <c r="K254" s="89"/>
      <c r="L254" s="90"/>
      <c r="M254" s="91"/>
      <c r="N254" s="377"/>
      <c r="O254" s="40"/>
      <c r="P254" s="40"/>
    </row>
    <row r="255" spans="1:40" x14ac:dyDescent="0.25">
      <c r="A255" s="38"/>
      <c r="B255" s="38"/>
      <c r="C255" s="38"/>
      <c r="D255" s="38"/>
      <c r="F255" s="40"/>
      <c r="G255" s="40"/>
      <c r="H255" s="40"/>
      <c r="I255" s="40"/>
      <c r="J255" s="88"/>
      <c r="K255" s="89"/>
      <c r="L255" s="90"/>
      <c r="M255" s="91"/>
      <c r="N255" s="377"/>
      <c r="O255" s="40"/>
      <c r="P255" s="40"/>
    </row>
    <row r="256" spans="1:40" x14ac:dyDescent="0.25">
      <c r="A256" s="38"/>
      <c r="B256" s="38"/>
      <c r="C256" s="38"/>
      <c r="D256" s="38"/>
      <c r="F256" s="9"/>
      <c r="G256" s="10"/>
      <c r="H256" s="10"/>
      <c r="I256" s="10"/>
      <c r="J256" s="214"/>
      <c r="K256" s="561"/>
      <c r="L256" s="215"/>
      <c r="M256" s="444"/>
      <c r="N256" s="377"/>
      <c r="O256" s="40"/>
      <c r="P256" s="40"/>
    </row>
    <row r="257" spans="1:17" x14ac:dyDescent="0.25">
      <c r="A257" s="38"/>
      <c r="B257" s="38"/>
      <c r="C257" s="38"/>
      <c r="D257" s="38"/>
      <c r="F257" s="13"/>
      <c r="G257" s="14"/>
      <c r="H257" s="14"/>
      <c r="I257" s="979" t="s">
        <v>199</v>
      </c>
      <c r="J257" s="1031"/>
      <c r="K257" s="1031"/>
      <c r="L257" s="1032"/>
      <c r="M257" s="557"/>
      <c r="N257" s="377"/>
      <c r="O257" s="40"/>
      <c r="P257" s="40"/>
    </row>
    <row r="258" spans="1:17" x14ac:dyDescent="0.25">
      <c r="A258" s="38"/>
      <c r="B258" s="38"/>
      <c r="C258" s="38"/>
      <c r="D258" s="38"/>
      <c r="F258" s="13"/>
      <c r="G258" s="14"/>
      <c r="H258" s="14"/>
      <c r="I258" s="1051" t="s">
        <v>197</v>
      </c>
      <c r="J258" s="1052"/>
      <c r="K258" s="1052"/>
      <c r="L258" s="1053"/>
      <c r="M258" s="557"/>
      <c r="N258" s="377"/>
      <c r="O258" s="40"/>
      <c r="P258" s="40"/>
    </row>
    <row r="259" spans="1:17" x14ac:dyDescent="0.25">
      <c r="A259" s="38"/>
      <c r="B259" s="38"/>
      <c r="C259" s="38"/>
      <c r="D259" s="38"/>
      <c r="F259" s="13"/>
      <c r="G259" s="14"/>
      <c r="H259" s="41"/>
      <c r="I259" s="1043" t="s">
        <v>0</v>
      </c>
      <c r="J259" s="1044"/>
      <c r="K259" s="1043" t="s">
        <v>192</v>
      </c>
      <c r="L259" s="1044"/>
      <c r="M259" s="557"/>
      <c r="N259" s="377"/>
      <c r="O259" s="40"/>
      <c r="P259" s="40"/>
    </row>
    <row r="260" spans="1:17" x14ac:dyDescent="0.25">
      <c r="A260" s="38"/>
      <c r="B260" s="38"/>
      <c r="C260" s="38"/>
      <c r="D260" s="38"/>
      <c r="F260" s="13"/>
      <c r="G260" s="14"/>
      <c r="H260" s="15"/>
      <c r="I260" s="14"/>
      <c r="J260" s="14"/>
      <c r="K260" s="14"/>
      <c r="L260" s="14"/>
      <c r="M260" s="557"/>
      <c r="N260" s="377"/>
      <c r="O260" s="40"/>
      <c r="P260" s="40"/>
    </row>
    <row r="261" spans="1:17" x14ac:dyDescent="0.25">
      <c r="A261" s="38"/>
      <c r="B261" s="38"/>
      <c r="C261" s="38"/>
      <c r="D261" s="38"/>
      <c r="F261" s="13"/>
      <c r="G261" s="385">
        <f>G247</f>
        <v>2013</v>
      </c>
      <c r="H261" s="562"/>
      <c r="I261" s="392">
        <f>'5 - Migration'!B46</f>
        <v>29977.199999999997</v>
      </c>
      <c r="J261" s="394" t="s">
        <v>194</v>
      </c>
      <c r="K261" s="387">
        <f>'5 - Migration'!B58</f>
        <v>83.27</v>
      </c>
      <c r="L261" s="394" t="s">
        <v>195</v>
      </c>
      <c r="M261" s="557"/>
      <c r="N261" s="377"/>
      <c r="O261" s="40"/>
      <c r="P261" s="40"/>
    </row>
    <row r="262" spans="1:17" x14ac:dyDescent="0.25">
      <c r="A262" s="38"/>
      <c r="B262" s="38"/>
      <c r="C262" s="38"/>
      <c r="D262" s="38"/>
      <c r="F262" s="13"/>
      <c r="G262" s="386"/>
      <c r="H262" s="83"/>
      <c r="I262" s="388"/>
      <c r="J262" s="395"/>
      <c r="K262" s="389"/>
      <c r="L262" s="395"/>
      <c r="M262" s="557"/>
      <c r="N262" s="377"/>
      <c r="O262" s="40"/>
      <c r="P262" s="40"/>
    </row>
    <row r="263" spans="1:17" x14ac:dyDescent="0.25">
      <c r="A263" s="38"/>
      <c r="B263" s="38"/>
      <c r="C263" s="38"/>
      <c r="D263" s="38"/>
      <c r="F263" s="13"/>
      <c r="G263" s="385">
        <f>G249</f>
        <v>2023</v>
      </c>
      <c r="H263" s="562"/>
      <c r="I263" s="393">
        <f>'5 - Migration'!B47</f>
        <v>40286.850086874605</v>
      </c>
      <c r="J263" s="394" t="s">
        <v>194</v>
      </c>
      <c r="K263" s="391">
        <f>'5 - Migration'!B59</f>
        <v>111.90791690798501</v>
      </c>
      <c r="L263" s="394" t="s">
        <v>195</v>
      </c>
      <c r="M263" s="557"/>
      <c r="N263" s="377"/>
      <c r="O263" s="40"/>
      <c r="P263" s="40"/>
    </row>
    <row r="264" spans="1:17" x14ac:dyDescent="0.25">
      <c r="A264" s="38"/>
      <c r="B264" s="38"/>
      <c r="C264" s="38"/>
      <c r="D264" s="38"/>
      <c r="F264" s="13"/>
      <c r="G264" s="26"/>
      <c r="H264" s="83"/>
      <c r="I264" s="388"/>
      <c r="J264" s="395"/>
      <c r="K264" s="389"/>
      <c r="L264" s="395"/>
      <c r="M264" s="557"/>
      <c r="N264" s="377"/>
      <c r="O264" s="40"/>
      <c r="P264" s="40"/>
    </row>
    <row r="265" spans="1:17" x14ac:dyDescent="0.25">
      <c r="A265" s="38"/>
      <c r="B265" s="38"/>
      <c r="C265" s="38"/>
      <c r="D265" s="38"/>
      <c r="F265" s="13"/>
      <c r="G265" s="13">
        <f>G251</f>
        <v>2033</v>
      </c>
      <c r="H265" s="562"/>
      <c r="I265" s="393">
        <f>'5 - Migration'!B48</f>
        <v>54142.157703931938</v>
      </c>
      <c r="J265" s="394" t="s">
        <v>194</v>
      </c>
      <c r="K265" s="391">
        <f>'5 - Migration'!B60</f>
        <v>150.39488251092203</v>
      </c>
      <c r="L265" s="394" t="s">
        <v>195</v>
      </c>
      <c r="M265" s="557"/>
      <c r="N265" s="377"/>
      <c r="O265" s="40"/>
      <c r="P265" s="40"/>
    </row>
    <row r="266" spans="1:17" x14ac:dyDescent="0.25">
      <c r="A266" s="38"/>
      <c r="B266" s="38"/>
      <c r="C266" s="38"/>
      <c r="D266" s="38"/>
      <c r="F266" s="13"/>
      <c r="G266" s="26"/>
      <c r="H266" s="83"/>
      <c r="I266" s="388"/>
      <c r="J266" s="390"/>
      <c r="K266" s="389"/>
      <c r="L266" s="390"/>
      <c r="M266" s="557"/>
      <c r="N266" s="377"/>
      <c r="O266" s="40"/>
      <c r="P266" s="40"/>
    </row>
    <row r="267" spans="1:17" x14ac:dyDescent="0.25">
      <c r="A267" s="38"/>
      <c r="B267" s="38"/>
      <c r="C267" s="38"/>
      <c r="D267" s="38"/>
      <c r="F267" s="26"/>
      <c r="G267" s="32"/>
      <c r="H267" s="32"/>
      <c r="I267" s="32"/>
      <c r="J267" s="83"/>
      <c r="K267" s="558"/>
      <c r="L267" s="559"/>
      <c r="M267" s="560"/>
      <c r="N267" s="377"/>
      <c r="O267" s="40"/>
      <c r="P267" s="40"/>
    </row>
    <row r="268" spans="1:17" x14ac:dyDescent="0.25">
      <c r="A268" s="38"/>
      <c r="B268" s="38"/>
      <c r="C268" s="38"/>
      <c r="D268" s="38"/>
      <c r="F268" s="40"/>
      <c r="G268" s="40"/>
      <c r="H268" s="40"/>
      <c r="I268" s="40"/>
      <c r="J268" s="88"/>
      <c r="K268" s="89"/>
      <c r="L268" s="90"/>
      <c r="M268" s="91"/>
      <c r="N268" s="563"/>
      <c r="O268" s="40"/>
      <c r="P268" s="40"/>
    </row>
    <row r="269" spans="1:17" x14ac:dyDescent="0.25">
      <c r="A269" s="38"/>
      <c r="B269" s="38"/>
      <c r="C269" s="38"/>
      <c r="D269" s="38"/>
      <c r="F269" s="40"/>
      <c r="G269" s="40"/>
      <c r="H269" s="40"/>
      <c r="I269" s="40"/>
      <c r="J269" s="88"/>
      <c r="K269" s="89"/>
      <c r="L269" s="90"/>
      <c r="M269" s="91"/>
      <c r="N269" s="563"/>
      <c r="O269" s="40"/>
      <c r="P269" s="40"/>
    </row>
    <row r="270" spans="1:17" x14ac:dyDescent="0.25">
      <c r="A270" s="580" t="s">
        <v>277</v>
      </c>
      <c r="B270" s="581"/>
      <c r="C270" s="582"/>
      <c r="D270" s="583"/>
      <c r="F270" s="9"/>
      <c r="G270" s="10"/>
      <c r="H270" s="10"/>
      <c r="I270" s="11"/>
      <c r="J270" s="10"/>
      <c r="K270" s="10"/>
      <c r="L270" s="10"/>
      <c r="M270" s="10"/>
      <c r="N270" s="10"/>
      <c r="O270" s="10"/>
      <c r="P270" s="12"/>
      <c r="Q270" s="659"/>
    </row>
    <row r="271" spans="1:17" ht="15" customHeight="1" x14ac:dyDescent="0.25">
      <c r="A271" s="38"/>
      <c r="B271" s="38"/>
      <c r="C271" s="38"/>
      <c r="D271" s="38"/>
      <c r="F271" s="13"/>
      <c r="G271" s="60" t="s">
        <v>70</v>
      </c>
      <c r="H271" s="652"/>
      <c r="I271" s="445"/>
      <c r="J271" s="648" t="s">
        <v>284</v>
      </c>
      <c r="K271" s="649">
        <v>0.5</v>
      </c>
      <c r="L271" s="650" t="s">
        <v>285</v>
      </c>
      <c r="M271" s="651"/>
      <c r="N271" s="651"/>
      <c r="O271" s="651"/>
      <c r="P271" s="661"/>
      <c r="Q271" s="660"/>
    </row>
    <row r="272" spans="1:17" x14ac:dyDescent="0.25">
      <c r="A272" s="38"/>
      <c r="B272" s="38"/>
      <c r="C272" s="38"/>
      <c r="D272" s="38"/>
      <c r="F272" s="26"/>
      <c r="G272" s="653"/>
      <c r="H272" s="32"/>
      <c r="I272" s="654"/>
      <c r="J272" s="655"/>
      <c r="K272" s="656"/>
      <c r="L272" s="32"/>
      <c r="M272" s="657"/>
      <c r="N272" s="32"/>
      <c r="O272" s="655"/>
      <c r="P272" s="658"/>
      <c r="Q272" s="660"/>
    </row>
    <row r="273" spans="1:22" x14ac:dyDescent="0.25">
      <c r="A273" s="38"/>
      <c r="B273" s="38"/>
      <c r="C273" s="38"/>
      <c r="D273" s="38"/>
      <c r="O273" s="40"/>
      <c r="P273" s="40"/>
      <c r="Q273" s="40"/>
    </row>
    <row r="274" spans="1:22" x14ac:dyDescent="0.25">
      <c r="A274" s="38"/>
      <c r="B274" s="38"/>
      <c r="C274" s="38"/>
      <c r="D274" s="38"/>
      <c r="F274" s="9"/>
      <c r="G274" s="11"/>
      <c r="H274" s="10"/>
      <c r="I274" s="10"/>
      <c r="J274" s="10"/>
      <c r="K274" s="10"/>
      <c r="L274" s="10"/>
      <c r="M274" s="12"/>
      <c r="N274" s="573"/>
      <c r="O274" s="40"/>
      <c r="P274" s="40"/>
      <c r="Q274" s="40"/>
    </row>
    <row r="275" spans="1:22" x14ac:dyDescent="0.25">
      <c r="A275" s="38"/>
      <c r="B275" s="38"/>
      <c r="C275" s="38"/>
      <c r="D275" s="38"/>
      <c r="F275" s="13"/>
      <c r="G275" s="15"/>
      <c r="H275" s="14"/>
      <c r="I275" s="969" t="s">
        <v>74</v>
      </c>
      <c r="J275" s="966"/>
      <c r="K275" s="966"/>
      <c r="L275" s="830"/>
      <c r="M275" s="72"/>
      <c r="N275" s="573"/>
      <c r="O275" s="40"/>
      <c r="P275" s="40"/>
      <c r="Q275" s="40"/>
    </row>
    <row r="276" spans="1:22" x14ac:dyDescent="0.25">
      <c r="A276" s="38"/>
      <c r="B276" s="38"/>
      <c r="C276" s="38"/>
      <c r="D276" s="38"/>
      <c r="F276" s="13"/>
      <c r="G276" s="15"/>
      <c r="H276" s="14"/>
      <c r="I276" s="970" t="s">
        <v>278</v>
      </c>
      <c r="J276" s="966"/>
      <c r="K276" s="966"/>
      <c r="L276" s="830"/>
      <c r="M276" s="72"/>
      <c r="N276" s="573"/>
      <c r="O276" s="40"/>
      <c r="P276" s="40"/>
      <c r="Q276" s="40"/>
    </row>
    <row r="277" spans="1:22" x14ac:dyDescent="0.25">
      <c r="A277" s="38"/>
      <c r="B277" s="38"/>
      <c r="C277" s="38"/>
      <c r="D277" s="38"/>
      <c r="F277" s="13"/>
      <c r="G277" s="19" t="s">
        <v>0</v>
      </c>
      <c r="H277" s="14"/>
      <c r="I277" s="577"/>
      <c r="J277" s="577"/>
      <c r="K277" s="577"/>
      <c r="L277" s="577"/>
      <c r="M277" s="72"/>
      <c r="N277" s="573"/>
      <c r="O277" s="40"/>
      <c r="P277" s="40"/>
      <c r="Q277" s="40"/>
    </row>
    <row r="278" spans="1:22" x14ac:dyDescent="0.25">
      <c r="A278" s="38"/>
      <c r="B278" s="38"/>
      <c r="C278" s="38"/>
      <c r="D278" s="38"/>
      <c r="F278" s="13"/>
      <c r="G278" s="9">
        <f>G247</f>
        <v>2013</v>
      </c>
      <c r="H278" s="23"/>
      <c r="I278" s="975">
        <f>'6 - Wildlife'!K19</f>
        <v>0</v>
      </c>
      <c r="J278" s="976"/>
      <c r="K278" s="971" t="s">
        <v>28</v>
      </c>
      <c r="L278" s="972"/>
      <c r="M278" s="72"/>
      <c r="N278" s="573"/>
      <c r="O278" s="40"/>
      <c r="P278" s="40"/>
      <c r="Q278" s="40"/>
    </row>
    <row r="279" spans="1:22" x14ac:dyDescent="0.25">
      <c r="A279" s="38"/>
      <c r="B279" s="38"/>
      <c r="C279" s="38"/>
      <c r="D279" s="38"/>
      <c r="F279" s="13"/>
      <c r="G279" s="26"/>
      <c r="H279" s="29"/>
      <c r="I279" s="977">
        <f>'6 - Wildlife'!K20</f>
        <v>0</v>
      </c>
      <c r="J279" s="978"/>
      <c r="K279" s="973" t="s">
        <v>5</v>
      </c>
      <c r="L279" s="974"/>
      <c r="M279" s="72"/>
      <c r="N279" s="573"/>
      <c r="O279" s="40"/>
      <c r="P279" s="40"/>
      <c r="Q279" s="40"/>
    </row>
    <row r="280" spans="1:22" x14ac:dyDescent="0.25">
      <c r="A280" s="38"/>
      <c r="B280" s="38"/>
      <c r="C280" s="38"/>
      <c r="D280" s="38"/>
      <c r="F280" s="13"/>
      <c r="G280" s="9">
        <f>G249</f>
        <v>2023</v>
      </c>
      <c r="H280" s="23"/>
      <c r="I280" s="975">
        <f>'6 - Wildlife'!K21</f>
        <v>0</v>
      </c>
      <c r="J280" s="976"/>
      <c r="K280" s="971" t="s">
        <v>28</v>
      </c>
      <c r="L280" s="972"/>
      <c r="M280" s="72"/>
      <c r="N280" s="573"/>
      <c r="O280" s="40"/>
      <c r="P280" s="40"/>
      <c r="Q280" s="40"/>
    </row>
    <row r="281" spans="1:22" x14ac:dyDescent="0.25">
      <c r="A281" s="38"/>
      <c r="B281" s="38"/>
      <c r="C281" s="38"/>
      <c r="D281" s="38"/>
      <c r="F281" s="13"/>
      <c r="G281" s="26"/>
      <c r="H281" s="29"/>
      <c r="I281" s="977">
        <f>'6 - Wildlife'!K22</f>
        <v>0</v>
      </c>
      <c r="J281" s="978"/>
      <c r="K281" s="973" t="s">
        <v>5</v>
      </c>
      <c r="L281" s="974"/>
      <c r="M281" s="72"/>
      <c r="N281" s="573"/>
      <c r="O281" s="40"/>
      <c r="P281" s="40"/>
      <c r="Q281" s="40"/>
    </row>
    <row r="282" spans="1:22" x14ac:dyDescent="0.25">
      <c r="A282" s="38"/>
      <c r="B282" s="38"/>
      <c r="C282" s="38"/>
      <c r="D282" s="38"/>
      <c r="F282" s="13"/>
      <c r="G282" s="9">
        <f>G251</f>
        <v>2033</v>
      </c>
      <c r="H282" s="23"/>
      <c r="I282" s="975">
        <f>'6 - Wildlife'!K23</f>
        <v>0</v>
      </c>
      <c r="J282" s="976"/>
      <c r="K282" s="971" t="s">
        <v>28</v>
      </c>
      <c r="L282" s="972"/>
      <c r="M282" s="72"/>
      <c r="N282" s="573"/>
      <c r="O282" s="40"/>
      <c r="P282" s="40"/>
      <c r="Q282" s="40"/>
    </row>
    <row r="283" spans="1:22" x14ac:dyDescent="0.25">
      <c r="A283" s="38"/>
      <c r="B283" s="38"/>
      <c r="C283" s="38"/>
      <c r="D283" s="38"/>
      <c r="F283" s="13"/>
      <c r="G283" s="26"/>
      <c r="H283" s="32"/>
      <c r="I283" s="977">
        <f>'6 - Wildlife'!K24</f>
        <v>0</v>
      </c>
      <c r="J283" s="978"/>
      <c r="K283" s="973" t="s">
        <v>5</v>
      </c>
      <c r="L283" s="974"/>
      <c r="M283" s="72"/>
      <c r="N283" s="573"/>
      <c r="O283" s="40"/>
      <c r="P283" s="40"/>
      <c r="Q283" s="40"/>
    </row>
    <row r="284" spans="1:22" x14ac:dyDescent="0.25">
      <c r="A284" s="38"/>
      <c r="B284" s="38"/>
      <c r="C284" s="38"/>
      <c r="D284" s="38"/>
      <c r="F284" s="26"/>
      <c r="G284" s="32"/>
      <c r="H284" s="32"/>
      <c r="I284" s="83"/>
      <c r="J284" s="578"/>
      <c r="K284" s="579"/>
      <c r="L284" s="86"/>
      <c r="M284" s="647"/>
      <c r="N284" s="573"/>
      <c r="O284" s="40"/>
      <c r="P284" s="40"/>
      <c r="Q284" s="40"/>
    </row>
    <row r="285" spans="1:22" x14ac:dyDescent="0.25">
      <c r="A285" s="38"/>
      <c r="B285" s="38"/>
      <c r="C285" s="38"/>
      <c r="D285" s="38"/>
      <c r="F285" s="40"/>
      <c r="G285" s="40"/>
      <c r="H285" s="40"/>
      <c r="I285" s="40"/>
      <c r="J285" s="88"/>
      <c r="K285" s="89"/>
      <c r="L285" s="90"/>
      <c r="M285" s="91"/>
      <c r="N285" s="573"/>
      <c r="O285" s="40"/>
      <c r="P285" s="40"/>
      <c r="Q285" s="40"/>
    </row>
    <row r="286" spans="1:22" x14ac:dyDescent="0.25">
      <c r="A286" s="38"/>
      <c r="B286" s="38"/>
      <c r="C286" s="38"/>
      <c r="D286" s="38"/>
      <c r="F286" s="40"/>
      <c r="G286" s="40"/>
      <c r="H286" s="40"/>
      <c r="I286" s="40"/>
      <c r="J286" s="88"/>
      <c r="K286" s="89"/>
      <c r="L286" s="90"/>
      <c r="M286" s="91"/>
      <c r="N286" s="563"/>
      <c r="O286" s="40"/>
      <c r="P286" s="40"/>
      <c r="Q286" s="40"/>
    </row>
    <row r="287" spans="1:22" s="40" customFormat="1" ht="20.100000000000001" customHeight="1" x14ac:dyDescent="0.25">
      <c r="A287" s="219"/>
      <c r="B287" s="957" t="s">
        <v>279</v>
      </c>
      <c r="C287" s="958"/>
      <c r="D287" s="958"/>
      <c r="E287" s="958"/>
      <c r="F287" s="958"/>
      <c r="G287" s="958"/>
      <c r="H287" s="958"/>
      <c r="I287" s="958"/>
      <c r="J287" s="958"/>
      <c r="K287" s="958"/>
      <c r="L287" s="958"/>
      <c r="M287" s="958"/>
      <c r="N287" s="958"/>
      <c r="O287" s="958"/>
      <c r="P287" s="958"/>
      <c r="Q287" s="958"/>
      <c r="R287" s="958"/>
      <c r="S287" s="958"/>
      <c r="T287" s="958"/>
      <c r="U287" s="958"/>
      <c r="V287" s="959"/>
    </row>
    <row r="288" spans="1:22" s="40" customFormat="1" x14ac:dyDescent="0.25">
      <c r="A288" s="219"/>
      <c r="B288" s="219"/>
      <c r="C288" s="219"/>
      <c r="D288" s="219"/>
      <c r="J288" s="88"/>
      <c r="K288" s="493"/>
      <c r="L288" s="222"/>
      <c r="M288" s="91"/>
      <c r="N288" s="493"/>
    </row>
    <row r="289" spans="1:22" x14ac:dyDescent="0.25">
      <c r="A289" s="38"/>
      <c r="B289" s="38"/>
      <c r="C289" s="38"/>
      <c r="D289" s="38"/>
      <c r="F289" s="40"/>
      <c r="G289" s="40"/>
      <c r="H289" s="40"/>
      <c r="I289" s="40"/>
      <c r="J289" s="88"/>
      <c r="K289" s="89"/>
      <c r="L289" s="90"/>
      <c r="M289" s="91"/>
      <c r="N289" s="73"/>
      <c r="O289" s="40"/>
      <c r="P289" s="40"/>
    </row>
    <row r="290" spans="1:22" ht="18.75" x14ac:dyDescent="0.3">
      <c r="G290" s="615"/>
      <c r="H290" s="616"/>
      <c r="I290" s="615"/>
      <c r="J290" s="615"/>
      <c r="K290" s="615"/>
      <c r="L290" s="615"/>
      <c r="M290" s="615"/>
      <c r="N290" s="615"/>
      <c r="O290" s="615"/>
      <c r="P290" s="615"/>
      <c r="Q290" s="615"/>
      <c r="R290" s="615"/>
      <c r="S290" s="615"/>
      <c r="T290" s="615"/>
      <c r="U290" s="615"/>
      <c r="V290" s="615"/>
    </row>
    <row r="291" spans="1:22" ht="15" customHeight="1" x14ac:dyDescent="0.25">
      <c r="B291" s="983" t="s">
        <v>250</v>
      </c>
      <c r="C291" s="880"/>
      <c r="D291" s="851"/>
      <c r="G291" s="93"/>
      <c r="H291" s="94"/>
      <c r="I291" s="95"/>
      <c r="J291" s="95"/>
      <c r="K291" s="95"/>
      <c r="L291" s="95"/>
      <c r="M291" s="95"/>
      <c r="N291" s="95"/>
      <c r="O291" s="95"/>
      <c r="P291" s="95"/>
      <c r="Q291" s="95"/>
      <c r="R291" s="95"/>
      <c r="S291" s="95"/>
      <c r="T291" s="95"/>
      <c r="U291" s="95"/>
      <c r="V291" s="96"/>
    </row>
    <row r="292" spans="1:22" x14ac:dyDescent="0.25">
      <c r="B292" s="870"/>
      <c r="C292" s="881"/>
      <c r="D292" s="857"/>
      <c r="G292" s="97"/>
      <c r="H292" s="98"/>
      <c r="I292" s="99"/>
      <c r="J292" s="984" t="s">
        <v>44</v>
      </c>
      <c r="K292" s="985"/>
      <c r="L292" s="985"/>
      <c r="M292" s="985"/>
      <c r="N292" s="985"/>
      <c r="O292" s="985"/>
      <c r="P292" s="985"/>
      <c r="Q292" s="985"/>
      <c r="R292" s="985"/>
      <c r="S292" s="985"/>
      <c r="T292" s="966"/>
      <c r="U292" s="830"/>
      <c r="V292" s="100"/>
    </row>
    <row r="293" spans="1:22" ht="15" customHeight="1" x14ac:dyDescent="0.25">
      <c r="G293" s="97"/>
      <c r="H293" s="98"/>
      <c r="I293" s="99"/>
      <c r="J293" s="986" t="s">
        <v>2</v>
      </c>
      <c r="K293" s="987"/>
      <c r="L293" s="986" t="s">
        <v>24</v>
      </c>
      <c r="M293" s="987"/>
      <c r="N293" s="986" t="s">
        <v>36</v>
      </c>
      <c r="O293" s="987"/>
      <c r="P293" s="986" t="s">
        <v>58</v>
      </c>
      <c r="Q293" s="987"/>
      <c r="R293" s="986" t="s">
        <v>278</v>
      </c>
      <c r="S293" s="987"/>
      <c r="T293" s="988" t="s">
        <v>25</v>
      </c>
      <c r="U293" s="989"/>
      <c r="V293" s="100"/>
    </row>
    <row r="294" spans="1:22" ht="15" customHeight="1" x14ac:dyDescent="0.25">
      <c r="G294" s="97"/>
      <c r="H294" s="98"/>
      <c r="I294" s="99"/>
      <c r="J294" s="990" t="s">
        <v>104</v>
      </c>
      <c r="K294" s="991"/>
      <c r="L294" s="990" t="s">
        <v>104</v>
      </c>
      <c r="M294" s="991"/>
      <c r="N294" s="992"/>
      <c r="O294" s="993"/>
      <c r="P294" s="994" t="s">
        <v>249</v>
      </c>
      <c r="Q294" s="987"/>
      <c r="R294" s="992"/>
      <c r="S294" s="993"/>
      <c r="T294" s="995"/>
      <c r="U294" s="996"/>
      <c r="V294" s="100"/>
    </row>
    <row r="295" spans="1:22" x14ac:dyDescent="0.25">
      <c r="G295" s="97"/>
      <c r="H295" s="98"/>
      <c r="I295" s="99"/>
      <c r="J295" s="378">
        <f>J40</f>
        <v>20</v>
      </c>
      <c r="K295" s="379" t="s">
        <v>105</v>
      </c>
      <c r="L295" s="997" t="str">
        <f>L76</f>
        <v>FEWSNET estimates</v>
      </c>
      <c r="M295" s="998"/>
      <c r="N295" s="999"/>
      <c r="O295" s="1000"/>
      <c r="P295" s="999"/>
      <c r="Q295" s="1000"/>
      <c r="R295" s="999"/>
      <c r="S295" s="1000"/>
      <c r="T295" s="1009"/>
      <c r="U295" s="1010"/>
      <c r="V295" s="100"/>
    </row>
    <row r="296" spans="1:22" x14ac:dyDescent="0.25">
      <c r="D296" s="955"/>
      <c r="E296" s="956"/>
      <c r="G296" s="101"/>
      <c r="H296" s="102" t="s">
        <v>0</v>
      </c>
      <c r="I296" s="99"/>
      <c r="J296" s="409"/>
      <c r="K296" s="99"/>
      <c r="L296" s="99"/>
      <c r="M296" s="99"/>
      <c r="N296" s="99"/>
      <c r="O296" s="99"/>
      <c r="P296" s="99"/>
      <c r="Q296" s="99"/>
      <c r="R296" s="99"/>
      <c r="S296" s="99"/>
      <c r="T296" s="102"/>
      <c r="U296" s="102"/>
      <c r="V296" s="100"/>
    </row>
    <row r="297" spans="1:22" x14ac:dyDescent="0.25">
      <c r="D297" s="956"/>
      <c r="E297" s="956"/>
      <c r="G297" s="97"/>
      <c r="H297" s="103">
        <f>F22</f>
        <v>2013</v>
      </c>
      <c r="I297" s="104"/>
      <c r="J297" s="403">
        <f>J43</f>
        <v>590.14928943539996</v>
      </c>
      <c r="K297" s="105" t="s">
        <v>200</v>
      </c>
      <c r="L297" s="403">
        <f>J79</f>
        <v>845.26590934757826</v>
      </c>
      <c r="M297" s="105" t="s">
        <v>200</v>
      </c>
      <c r="N297" s="403">
        <f>K206</f>
        <v>146.49662222946964</v>
      </c>
      <c r="O297" s="105" t="s">
        <v>200</v>
      </c>
      <c r="P297" s="403">
        <f>K261</f>
        <v>83.27</v>
      </c>
      <c r="Q297" s="105" t="s">
        <v>200</v>
      </c>
      <c r="R297" s="403">
        <f>L297*'6 - Wildlife'!E9</f>
        <v>0</v>
      </c>
      <c r="S297" s="105" t="s">
        <v>200</v>
      </c>
      <c r="T297" s="406">
        <f>SUM(J297,L297,N297,P297,R297)</f>
        <v>1665.1818210124479</v>
      </c>
      <c r="U297" s="106" t="s">
        <v>200</v>
      </c>
      <c r="V297" s="100"/>
    </row>
    <row r="298" spans="1:22" x14ac:dyDescent="0.25">
      <c r="G298" s="97"/>
      <c r="H298" s="107"/>
      <c r="I298" s="108"/>
      <c r="J298" s="404"/>
      <c r="K298" s="110"/>
      <c r="L298" s="404"/>
      <c r="M298" s="110"/>
      <c r="N298" s="404"/>
      <c r="O298" s="110"/>
      <c r="P298" s="404"/>
      <c r="Q298" s="396"/>
      <c r="R298" s="404"/>
      <c r="S298" s="396"/>
      <c r="T298" s="407"/>
      <c r="U298" s="397"/>
      <c r="V298" s="100"/>
    </row>
    <row r="299" spans="1:22" x14ac:dyDescent="0.25">
      <c r="G299" s="112"/>
      <c r="H299" s="103">
        <f>F24</f>
        <v>2023</v>
      </c>
      <c r="I299" s="104"/>
      <c r="J299" s="403">
        <f>J45</f>
        <v>793.11129633052883</v>
      </c>
      <c r="K299" s="105" t="s">
        <v>200</v>
      </c>
      <c r="L299" s="403">
        <f>J81</f>
        <v>1135.9667004734138</v>
      </c>
      <c r="M299" s="105" t="s">
        <v>200</v>
      </c>
      <c r="N299" s="403">
        <f>K208</f>
        <v>196.87921013277241</v>
      </c>
      <c r="O299" s="105" t="s">
        <v>200</v>
      </c>
      <c r="P299" s="403">
        <f>K263</f>
        <v>111.90791690798501</v>
      </c>
      <c r="Q299" s="105" t="s">
        <v>200</v>
      </c>
      <c r="R299" s="403">
        <f>L299*'6 - Wildlife'!E9</f>
        <v>0</v>
      </c>
      <c r="S299" s="105" t="s">
        <v>200</v>
      </c>
      <c r="T299" s="406">
        <f>SUM(J299,L299,N299,P299,R299)</f>
        <v>2237.8651238447001</v>
      </c>
      <c r="U299" s="106" t="s">
        <v>200</v>
      </c>
      <c r="V299" s="100"/>
    </row>
    <row r="300" spans="1:22" x14ac:dyDescent="0.25">
      <c r="G300" s="97"/>
      <c r="H300" s="107"/>
      <c r="I300" s="108"/>
      <c r="J300" s="405"/>
      <c r="K300" s="110"/>
      <c r="L300" s="404"/>
      <c r="M300" s="110"/>
      <c r="N300" s="404"/>
      <c r="O300" s="110"/>
      <c r="P300" s="404"/>
      <c r="Q300" s="396"/>
      <c r="R300" s="404"/>
      <c r="S300" s="396"/>
      <c r="T300" s="408"/>
      <c r="U300" s="111"/>
      <c r="V300" s="100"/>
    </row>
    <row r="301" spans="1:22" x14ac:dyDescent="0.25">
      <c r="G301" s="112"/>
      <c r="H301" s="103">
        <f>F26</f>
        <v>2033</v>
      </c>
      <c r="I301" s="104"/>
      <c r="J301" s="403">
        <f>J47</f>
        <v>1065.8752617814471</v>
      </c>
      <c r="K301" s="105" t="s">
        <v>200</v>
      </c>
      <c r="L301" s="403">
        <f>J83</f>
        <v>1526.6442551557184</v>
      </c>
      <c r="M301" s="105" t="s">
        <v>200</v>
      </c>
      <c r="N301" s="403">
        <f>K210</f>
        <v>264.58919524976602</v>
      </c>
      <c r="O301" s="105" t="s">
        <v>200</v>
      </c>
      <c r="P301" s="403">
        <f>K265</f>
        <v>150.39488251092203</v>
      </c>
      <c r="Q301" s="105" t="s">
        <v>200</v>
      </c>
      <c r="R301" s="403">
        <f>L301*'6 - Wildlife'!E9</f>
        <v>0</v>
      </c>
      <c r="S301" s="105" t="s">
        <v>200</v>
      </c>
      <c r="T301" s="406">
        <f>SUM(J301,L301,N301,P301,R301)</f>
        <v>3007.5035946978533</v>
      </c>
      <c r="U301" s="106" t="s">
        <v>200</v>
      </c>
      <c r="V301" s="100"/>
    </row>
    <row r="302" spans="1:22" x14ac:dyDescent="0.25">
      <c r="G302" s="97"/>
      <c r="H302" s="113"/>
      <c r="I302" s="108"/>
      <c r="J302" s="405"/>
      <c r="K302" s="110"/>
      <c r="L302" s="109"/>
      <c r="M302" s="110"/>
      <c r="N302" s="404"/>
      <c r="O302" s="110"/>
      <c r="P302" s="404"/>
      <c r="Q302" s="396"/>
      <c r="R302" s="404"/>
      <c r="S302" s="396"/>
      <c r="T302" s="408"/>
      <c r="U302" s="111"/>
      <c r="V302" s="100"/>
    </row>
    <row r="303" spans="1:22" x14ac:dyDescent="0.25">
      <c r="G303" s="114"/>
      <c r="H303" s="115"/>
      <c r="I303" s="116"/>
      <c r="J303" s="116"/>
      <c r="K303" s="116"/>
      <c r="L303" s="116"/>
      <c r="M303" s="116"/>
      <c r="N303" s="116"/>
      <c r="O303" s="116"/>
      <c r="P303" s="116"/>
      <c r="Q303" s="116"/>
      <c r="R303" s="116"/>
      <c r="S303" s="116"/>
      <c r="T303" s="116"/>
      <c r="U303" s="116"/>
      <c r="V303" s="117"/>
    </row>
    <row r="304" spans="1:22" x14ac:dyDescent="0.25">
      <c r="G304" s="40"/>
      <c r="H304" s="68"/>
      <c r="I304" s="40"/>
      <c r="J304" s="40"/>
      <c r="K304" s="40"/>
      <c r="L304" s="40"/>
      <c r="M304" s="40"/>
      <c r="N304" s="40"/>
      <c r="O304" s="40"/>
      <c r="P304" s="40"/>
      <c r="Q304" s="40"/>
      <c r="R304" s="40"/>
      <c r="S304" s="40"/>
      <c r="T304" s="40"/>
    </row>
    <row r="305" spans="1:40" x14ac:dyDescent="0.25">
      <c r="B305" s="9"/>
      <c r="C305" s="10"/>
      <c r="D305" s="10"/>
      <c r="E305" s="10"/>
      <c r="F305" s="10"/>
      <c r="G305" s="10"/>
      <c r="H305" s="214"/>
      <c r="I305" s="576"/>
      <c r="J305" s="215"/>
      <c r="K305" s="216"/>
      <c r="L305" s="217"/>
      <c r="M305" s="10"/>
      <c r="N305" s="10"/>
      <c r="O305" s="10"/>
      <c r="P305" s="10"/>
      <c r="Q305" s="10"/>
      <c r="R305" s="10"/>
      <c r="S305" s="10"/>
      <c r="T305" s="10"/>
      <c r="U305" s="10"/>
      <c r="V305" s="12"/>
    </row>
    <row r="306" spans="1:40" ht="15" customHeight="1" x14ac:dyDescent="0.25">
      <c r="A306" s="38"/>
      <c r="B306" s="584"/>
      <c r="C306" s="14"/>
      <c r="D306" s="14"/>
      <c r="E306" s="14"/>
      <c r="F306" s="356"/>
      <c r="G306" s="979" t="s">
        <v>248</v>
      </c>
      <c r="H306" s="1140"/>
      <c r="I306" s="1140"/>
      <c r="J306" s="1140"/>
      <c r="K306" s="1140"/>
      <c r="L306" s="1140"/>
      <c r="M306" s="1140"/>
      <c r="N306" s="1140"/>
      <c r="O306" s="1140"/>
      <c r="P306" s="1140"/>
      <c r="Q306" s="1140"/>
      <c r="R306" s="1141"/>
      <c r="S306" s="14"/>
      <c r="T306" s="1145"/>
      <c r="U306" s="1146"/>
      <c r="V306" s="18"/>
    </row>
    <row r="307" spans="1:40" s="234" customFormat="1" ht="15" customHeight="1" x14ac:dyDescent="0.25">
      <c r="A307" s="354"/>
      <c r="B307" s="585"/>
      <c r="C307" s="250"/>
      <c r="D307" s="568"/>
      <c r="E307" s="14"/>
      <c r="F307" s="41"/>
      <c r="G307" s="384" t="s">
        <v>92</v>
      </c>
      <c r="H307" s="384" t="s">
        <v>93</v>
      </c>
      <c r="I307" s="384" t="s">
        <v>94</v>
      </c>
      <c r="J307" s="384" t="s">
        <v>95</v>
      </c>
      <c r="K307" s="384" t="s">
        <v>96</v>
      </c>
      <c r="L307" s="384" t="s">
        <v>97</v>
      </c>
      <c r="M307" s="384" t="s">
        <v>98</v>
      </c>
      <c r="N307" s="384" t="s">
        <v>99</v>
      </c>
      <c r="O307" s="384" t="s">
        <v>100</v>
      </c>
      <c r="P307" s="384" t="s">
        <v>101</v>
      </c>
      <c r="Q307" s="384" t="s">
        <v>102</v>
      </c>
      <c r="R307" s="384" t="s">
        <v>103</v>
      </c>
      <c r="S307" s="502"/>
      <c r="T307" s="919" t="s">
        <v>25</v>
      </c>
      <c r="U307" s="1144"/>
      <c r="V307" s="586"/>
      <c r="W307" s="354"/>
      <c r="X307" s="355"/>
      <c r="Y307" s="222"/>
      <c r="Z307" s="355"/>
      <c r="AA307" s="355"/>
      <c r="AB307" s="355"/>
      <c r="AC307" s="355"/>
      <c r="AD307" s="355"/>
      <c r="AE307" s="355"/>
      <c r="AF307" s="355"/>
      <c r="AG307" s="355"/>
      <c r="AH307" s="355"/>
      <c r="AI307" s="355"/>
      <c r="AJ307" s="355"/>
      <c r="AK307" s="354"/>
      <c r="AL307" s="354"/>
      <c r="AM307" s="354"/>
      <c r="AN307" s="354"/>
    </row>
    <row r="308" spans="1:40" x14ac:dyDescent="0.25">
      <c r="B308" s="13"/>
      <c r="C308" s="14"/>
      <c r="D308" s="14"/>
      <c r="E308" s="14"/>
      <c r="F308" s="15"/>
      <c r="G308" s="14"/>
      <c r="H308" s="14"/>
      <c r="I308" s="14"/>
      <c r="J308" s="14"/>
      <c r="K308" s="14"/>
      <c r="L308" s="14"/>
      <c r="M308" s="14"/>
      <c r="N308" s="14"/>
      <c r="O308" s="14"/>
      <c r="P308" s="14"/>
      <c r="Q308" s="14"/>
      <c r="R308" s="14"/>
      <c r="S308" s="14"/>
      <c r="T308" s="14"/>
      <c r="U308" s="14"/>
      <c r="V308" s="18"/>
    </row>
    <row r="309" spans="1:40" s="234" customFormat="1" ht="15" customHeight="1" x14ac:dyDescent="0.25">
      <c r="A309" s="354"/>
      <c r="B309" s="585"/>
      <c r="C309" s="498">
        <f>F22</f>
        <v>2013</v>
      </c>
      <c r="D309" s="1029" t="str">
        <f>J293</f>
        <v>Basic domestic</v>
      </c>
      <c r="E309" s="1030"/>
      <c r="F309" s="359" t="s">
        <v>188</v>
      </c>
      <c r="G309" s="380">
        <f t="shared" ref="G309:R309" si="8">G310*30</f>
        <v>17704.478683062</v>
      </c>
      <c r="H309" s="380">
        <f t="shared" si="8"/>
        <v>17704.478683062</v>
      </c>
      <c r="I309" s="380">
        <f t="shared" si="8"/>
        <v>17704.478683062</v>
      </c>
      <c r="J309" s="380">
        <f t="shared" si="8"/>
        <v>17704.478683062</v>
      </c>
      <c r="K309" s="380">
        <f t="shared" si="8"/>
        <v>17704.478683062</v>
      </c>
      <c r="L309" s="380">
        <f t="shared" si="8"/>
        <v>17704.478683062</v>
      </c>
      <c r="M309" s="380">
        <f t="shared" si="8"/>
        <v>17704.478683062</v>
      </c>
      <c r="N309" s="380">
        <f t="shared" si="8"/>
        <v>17704.478683062</v>
      </c>
      <c r="O309" s="380">
        <f t="shared" si="8"/>
        <v>17704.478683062</v>
      </c>
      <c r="P309" s="380">
        <f t="shared" si="8"/>
        <v>17704.478683062</v>
      </c>
      <c r="Q309" s="380">
        <f t="shared" si="8"/>
        <v>17704.478683062</v>
      </c>
      <c r="R309" s="380">
        <f t="shared" si="8"/>
        <v>17704.478683062</v>
      </c>
      <c r="S309" s="502"/>
      <c r="T309" s="537">
        <f>SUM(G309:R309)</f>
        <v>212453.74419674405</v>
      </c>
      <c r="U309" s="532" t="s">
        <v>194</v>
      </c>
      <c r="V309" s="586"/>
      <c r="W309" s="354"/>
      <c r="X309" s="222"/>
      <c r="Y309" s="222"/>
      <c r="Z309" s="355"/>
      <c r="AA309" s="355"/>
      <c r="AB309" s="355"/>
      <c r="AC309" s="355"/>
      <c r="AD309" s="355"/>
      <c r="AE309" s="355"/>
      <c r="AF309" s="355"/>
      <c r="AG309" s="355"/>
      <c r="AH309" s="355"/>
      <c r="AI309" s="355"/>
      <c r="AJ309" s="355"/>
      <c r="AK309" s="354"/>
      <c r="AL309" s="354"/>
      <c r="AM309" s="354"/>
      <c r="AN309" s="354"/>
    </row>
    <row r="310" spans="1:40" s="234" customFormat="1" ht="15" customHeight="1" x14ac:dyDescent="0.25">
      <c r="A310" s="354"/>
      <c r="B310" s="585"/>
      <c r="C310" s="499"/>
      <c r="D310" s="572"/>
      <c r="E310" s="313"/>
      <c r="F310" s="495" t="s">
        <v>189</v>
      </c>
      <c r="G310" s="501">
        <f>$J$297</f>
        <v>590.14928943539996</v>
      </c>
      <c r="H310" s="501">
        <f t="shared" ref="H310:R310" si="9">$J$297</f>
        <v>590.14928943539996</v>
      </c>
      <c r="I310" s="501">
        <f t="shared" si="9"/>
        <v>590.14928943539996</v>
      </c>
      <c r="J310" s="501">
        <f t="shared" si="9"/>
        <v>590.14928943539996</v>
      </c>
      <c r="K310" s="501">
        <f t="shared" si="9"/>
        <v>590.14928943539996</v>
      </c>
      <c r="L310" s="501">
        <f t="shared" si="9"/>
        <v>590.14928943539996</v>
      </c>
      <c r="M310" s="501">
        <f t="shared" si="9"/>
        <v>590.14928943539996</v>
      </c>
      <c r="N310" s="501">
        <f t="shared" si="9"/>
        <v>590.14928943539996</v>
      </c>
      <c r="O310" s="501">
        <f t="shared" si="9"/>
        <v>590.14928943539996</v>
      </c>
      <c r="P310" s="501">
        <f t="shared" si="9"/>
        <v>590.14928943539996</v>
      </c>
      <c r="Q310" s="501">
        <f t="shared" si="9"/>
        <v>590.14928943539996</v>
      </c>
      <c r="R310" s="501">
        <f t="shared" si="9"/>
        <v>590.14928943539996</v>
      </c>
      <c r="S310" s="502"/>
      <c r="T310" s="538">
        <f>AVERAGE(G310:R310)</f>
        <v>590.14928943539985</v>
      </c>
      <c r="U310" s="535" t="s">
        <v>195</v>
      </c>
      <c r="V310" s="586"/>
      <c r="W310" s="354"/>
      <c r="X310" s="222"/>
      <c r="Y310" s="222"/>
      <c r="Z310" s="355"/>
      <c r="AA310" s="355"/>
      <c r="AB310" s="355"/>
      <c r="AC310" s="355"/>
      <c r="AD310" s="355"/>
      <c r="AE310" s="355"/>
      <c r="AF310" s="355"/>
      <c r="AG310" s="355"/>
      <c r="AH310" s="355"/>
      <c r="AI310" s="355"/>
      <c r="AJ310" s="355"/>
      <c r="AK310" s="354"/>
      <c r="AL310" s="354"/>
      <c r="AM310" s="354"/>
      <c r="AN310" s="354"/>
    </row>
    <row r="311" spans="1:40" s="234" customFormat="1" ht="15" customHeight="1" x14ac:dyDescent="0.25">
      <c r="A311" s="354"/>
      <c r="B311" s="585"/>
      <c r="C311" s="499"/>
      <c r="D311" s="967" t="str">
        <f>L293</f>
        <v>Livestock</v>
      </c>
      <c r="E311" s="968"/>
      <c r="F311" s="359" t="s">
        <v>188</v>
      </c>
      <c r="G311" s="380">
        <f t="shared" ref="G311:R311" si="10">G312*30</f>
        <v>25357.977280427349</v>
      </c>
      <c r="H311" s="380">
        <f t="shared" si="10"/>
        <v>25357.977280427349</v>
      </c>
      <c r="I311" s="380">
        <f t="shared" si="10"/>
        <v>25357.977280427349</v>
      </c>
      <c r="J311" s="380">
        <f t="shared" si="10"/>
        <v>25357.977280427349</v>
      </c>
      <c r="K311" s="380">
        <f t="shared" si="10"/>
        <v>25357.977280427349</v>
      </c>
      <c r="L311" s="380">
        <f t="shared" si="10"/>
        <v>25357.977280427349</v>
      </c>
      <c r="M311" s="380">
        <f t="shared" si="10"/>
        <v>25357.977280427349</v>
      </c>
      <c r="N311" s="380">
        <f t="shared" si="10"/>
        <v>25357.977280427349</v>
      </c>
      <c r="O311" s="380">
        <f t="shared" si="10"/>
        <v>25357.977280427349</v>
      </c>
      <c r="P311" s="380">
        <f t="shared" si="10"/>
        <v>25357.977280427349</v>
      </c>
      <c r="Q311" s="380">
        <f t="shared" si="10"/>
        <v>25357.977280427349</v>
      </c>
      <c r="R311" s="380">
        <f t="shared" si="10"/>
        <v>25357.977280427349</v>
      </c>
      <c r="S311" s="502"/>
      <c r="T311" s="537">
        <f>SUM(G311:R311)</f>
        <v>304295.72736512817</v>
      </c>
      <c r="U311" s="532" t="s">
        <v>194</v>
      </c>
      <c r="V311" s="586"/>
      <c r="W311" s="354"/>
      <c r="X311" s="222"/>
      <c r="Y311" s="222"/>
      <c r="Z311" s="355"/>
      <c r="AA311" s="355"/>
      <c r="AB311" s="355"/>
      <c r="AC311" s="355"/>
      <c r="AD311" s="355"/>
      <c r="AE311" s="355"/>
      <c r="AF311" s="355"/>
      <c r="AG311" s="355"/>
      <c r="AH311" s="355"/>
      <c r="AI311" s="355"/>
      <c r="AJ311" s="355"/>
      <c r="AK311" s="354"/>
      <c r="AL311" s="354"/>
      <c r="AM311" s="354"/>
      <c r="AN311" s="354"/>
    </row>
    <row r="312" spans="1:40" s="234" customFormat="1" ht="15" customHeight="1" x14ac:dyDescent="0.25">
      <c r="A312" s="354"/>
      <c r="B312" s="585"/>
      <c r="C312" s="499"/>
      <c r="D312" s="1142" t="str">
        <f>L295</f>
        <v>FEWSNET estimates</v>
      </c>
      <c r="E312" s="1004"/>
      <c r="F312" s="495" t="s">
        <v>189</v>
      </c>
      <c r="G312" s="501">
        <f>$L$297</f>
        <v>845.26590934757826</v>
      </c>
      <c r="H312" s="501">
        <f t="shared" ref="H312:R312" si="11">$L$297</f>
        <v>845.26590934757826</v>
      </c>
      <c r="I312" s="501">
        <f t="shared" si="11"/>
        <v>845.26590934757826</v>
      </c>
      <c r="J312" s="501">
        <f t="shared" si="11"/>
        <v>845.26590934757826</v>
      </c>
      <c r="K312" s="501">
        <f t="shared" si="11"/>
        <v>845.26590934757826</v>
      </c>
      <c r="L312" s="501">
        <f t="shared" si="11"/>
        <v>845.26590934757826</v>
      </c>
      <c r="M312" s="501">
        <f t="shared" si="11"/>
        <v>845.26590934757826</v>
      </c>
      <c r="N312" s="501">
        <f t="shared" si="11"/>
        <v>845.26590934757826</v>
      </c>
      <c r="O312" s="501">
        <f t="shared" si="11"/>
        <v>845.26590934757826</v>
      </c>
      <c r="P312" s="501">
        <f t="shared" si="11"/>
        <v>845.26590934757826</v>
      </c>
      <c r="Q312" s="501">
        <f t="shared" si="11"/>
        <v>845.26590934757826</v>
      </c>
      <c r="R312" s="501">
        <f t="shared" si="11"/>
        <v>845.26590934757826</v>
      </c>
      <c r="S312" s="502"/>
      <c r="T312" s="538">
        <f>AVERAGE(G312:R312)</f>
        <v>845.26590934757826</v>
      </c>
      <c r="U312" s="535" t="s">
        <v>195</v>
      </c>
      <c r="V312" s="586"/>
      <c r="W312" s="354"/>
      <c r="X312" s="222"/>
      <c r="Y312" s="222"/>
      <c r="Z312" s="355"/>
      <c r="AA312" s="355"/>
      <c r="AB312" s="355"/>
      <c r="AC312" s="355"/>
      <c r="AD312" s="355"/>
      <c r="AE312" s="355"/>
      <c r="AF312" s="355"/>
      <c r="AG312" s="355"/>
      <c r="AH312" s="355"/>
      <c r="AI312" s="355"/>
      <c r="AJ312" s="355"/>
      <c r="AK312" s="354"/>
      <c r="AL312" s="354"/>
      <c r="AM312" s="354"/>
      <c r="AN312" s="354"/>
    </row>
    <row r="313" spans="1:40" s="234" customFormat="1" ht="15" customHeight="1" x14ac:dyDescent="0.25">
      <c r="A313" s="354"/>
      <c r="B313" s="585"/>
      <c r="C313" s="499"/>
      <c r="D313" s="967" t="str">
        <f>N293</f>
        <v>Agriculture</v>
      </c>
      <c r="E313" s="968"/>
      <c r="F313" s="359" t="s">
        <v>188</v>
      </c>
      <c r="G313" s="380">
        <f t="shared" ref="G313:R314" si="12">I192</f>
        <v>11384.007868595978</v>
      </c>
      <c r="H313" s="380">
        <f t="shared" si="12"/>
        <v>0</v>
      </c>
      <c r="I313" s="380">
        <f t="shared" si="12"/>
        <v>0</v>
      </c>
      <c r="J313" s="380">
        <f t="shared" si="12"/>
        <v>3065.6408488051215</v>
      </c>
      <c r="K313" s="380">
        <f t="shared" si="12"/>
        <v>6424.8157723183795</v>
      </c>
      <c r="L313" s="380">
        <f t="shared" si="12"/>
        <v>11299.635627673124</v>
      </c>
      <c r="M313" s="380">
        <f t="shared" si="12"/>
        <v>6801.1634829717614</v>
      </c>
      <c r="N313" s="380">
        <f t="shared" si="12"/>
        <v>0</v>
      </c>
      <c r="O313" s="380">
        <f t="shared" si="12"/>
        <v>0</v>
      </c>
      <c r="P313" s="380">
        <f t="shared" si="12"/>
        <v>4424.7848153151044</v>
      </c>
      <c r="Q313" s="380">
        <f t="shared" si="12"/>
        <v>6671.6011563533839</v>
      </c>
      <c r="R313" s="380">
        <f t="shared" si="12"/>
        <v>3399.6175417235645</v>
      </c>
      <c r="S313" s="502"/>
      <c r="T313" s="537">
        <f>SUM(G313:R313)</f>
        <v>53471.267113756418</v>
      </c>
      <c r="U313" s="532" t="s">
        <v>194</v>
      </c>
      <c r="V313" s="586"/>
      <c r="W313" s="354"/>
      <c r="X313" s="222"/>
      <c r="Y313" s="222"/>
      <c r="Z313" s="355"/>
      <c r="AA313" s="355"/>
      <c r="AB313" s="355"/>
      <c r="AC313" s="355"/>
      <c r="AD313" s="355"/>
      <c r="AE313" s="355"/>
      <c r="AF313" s="355"/>
      <c r="AG313" s="355"/>
      <c r="AH313" s="355"/>
      <c r="AI313" s="355"/>
      <c r="AJ313" s="355"/>
      <c r="AK313" s="354"/>
      <c r="AL313" s="354"/>
      <c r="AM313" s="354"/>
      <c r="AN313" s="354"/>
    </row>
    <row r="314" spans="1:40" s="234" customFormat="1" ht="15" customHeight="1" x14ac:dyDescent="0.25">
      <c r="A314" s="354"/>
      <c r="B314" s="585"/>
      <c r="C314" s="499"/>
      <c r="D314" s="572"/>
      <c r="E314" s="313"/>
      <c r="F314" s="495" t="s">
        <v>189</v>
      </c>
      <c r="G314" s="501">
        <f t="shared" si="12"/>
        <v>379.46692895319927</v>
      </c>
      <c r="H314" s="501">
        <f t="shared" si="12"/>
        <v>0</v>
      </c>
      <c r="I314" s="501">
        <f t="shared" si="12"/>
        <v>0</v>
      </c>
      <c r="J314" s="501">
        <f t="shared" si="12"/>
        <v>102.18802829350405</v>
      </c>
      <c r="K314" s="501">
        <f t="shared" si="12"/>
        <v>214.16052574394598</v>
      </c>
      <c r="L314" s="501">
        <f t="shared" si="12"/>
        <v>376.65452092243748</v>
      </c>
      <c r="M314" s="501">
        <f t="shared" si="12"/>
        <v>226.70544943239204</v>
      </c>
      <c r="N314" s="501">
        <f t="shared" si="12"/>
        <v>0</v>
      </c>
      <c r="O314" s="501">
        <f t="shared" si="12"/>
        <v>0</v>
      </c>
      <c r="P314" s="501">
        <f t="shared" si="12"/>
        <v>147.49282717717014</v>
      </c>
      <c r="Q314" s="501">
        <f t="shared" si="12"/>
        <v>222.38670521177946</v>
      </c>
      <c r="R314" s="501">
        <f t="shared" si="12"/>
        <v>113.32058472411882</v>
      </c>
      <c r="S314" s="502"/>
      <c r="T314" s="388">
        <f>AVERAGE(G314:R314)</f>
        <v>148.53129753821227</v>
      </c>
      <c r="U314" s="533" t="s">
        <v>195</v>
      </c>
      <c r="V314" s="586"/>
      <c r="W314" s="354"/>
      <c r="X314" s="222"/>
      <c r="Y314" s="222"/>
      <c r="Z314" s="355"/>
      <c r="AA314" s="355"/>
      <c r="AB314" s="355"/>
      <c r="AC314" s="355"/>
      <c r="AD314" s="355"/>
      <c r="AE314" s="355"/>
      <c r="AF314" s="355"/>
      <c r="AG314" s="355"/>
      <c r="AH314" s="355"/>
      <c r="AI314" s="355"/>
      <c r="AJ314" s="355"/>
      <c r="AK314" s="354"/>
      <c r="AL314" s="354"/>
      <c r="AM314" s="354"/>
      <c r="AN314" s="354"/>
    </row>
    <row r="315" spans="1:40" s="234" customFormat="1" ht="15" customHeight="1" x14ac:dyDescent="0.25">
      <c r="A315" s="354"/>
      <c r="B315" s="585"/>
      <c r="C315" s="499"/>
      <c r="D315" s="967" t="str">
        <f>P293</f>
        <v>Seasonal livestock</v>
      </c>
      <c r="E315" s="968"/>
      <c r="F315" s="359" t="s">
        <v>188</v>
      </c>
      <c r="G315" s="494">
        <f>I247</f>
        <v>4163.5</v>
      </c>
      <c r="H315" s="494">
        <f t="shared" ref="H315:R315" si="13">J247</f>
        <v>0</v>
      </c>
      <c r="I315" s="494">
        <f t="shared" si="13"/>
        <v>0</v>
      </c>
      <c r="J315" s="494">
        <f t="shared" si="13"/>
        <v>0</v>
      </c>
      <c r="K315" s="494">
        <f t="shared" si="13"/>
        <v>0</v>
      </c>
      <c r="L315" s="494">
        <f t="shared" si="13"/>
        <v>0</v>
      </c>
      <c r="M315" s="494">
        <f t="shared" si="13"/>
        <v>0</v>
      </c>
      <c r="N315" s="494">
        <f t="shared" si="13"/>
        <v>0</v>
      </c>
      <c r="O315" s="494">
        <f t="shared" si="13"/>
        <v>4163.5</v>
      </c>
      <c r="P315" s="494">
        <f t="shared" si="13"/>
        <v>6661.6</v>
      </c>
      <c r="Q315" s="494">
        <f t="shared" si="13"/>
        <v>8327</v>
      </c>
      <c r="R315" s="494">
        <f t="shared" si="13"/>
        <v>6661.6</v>
      </c>
      <c r="S315" s="502"/>
      <c r="T315" s="538">
        <f>SUM(G315:R315)</f>
        <v>29977.199999999997</v>
      </c>
      <c r="U315" s="535" t="s">
        <v>194</v>
      </c>
      <c r="V315" s="586"/>
      <c r="W315" s="354"/>
      <c r="X315" s="574"/>
      <c r="Y315" s="574"/>
      <c r="Z315" s="355"/>
      <c r="AA315" s="355"/>
      <c r="AB315" s="355"/>
      <c r="AC315" s="355"/>
      <c r="AD315" s="355"/>
      <c r="AE315" s="355"/>
      <c r="AF315" s="355"/>
      <c r="AG315" s="355"/>
      <c r="AH315" s="355"/>
      <c r="AI315" s="355"/>
      <c r="AJ315" s="355"/>
      <c r="AK315" s="354"/>
      <c r="AL315" s="354"/>
      <c r="AM315" s="354"/>
      <c r="AN315" s="354"/>
    </row>
    <row r="316" spans="1:40" s="234" customFormat="1" ht="15" customHeight="1" x14ac:dyDescent="0.25">
      <c r="A316" s="354"/>
      <c r="B316" s="585"/>
      <c r="C316" s="499"/>
      <c r="D316" s="496"/>
      <c r="E316" s="571"/>
      <c r="F316" s="360" t="s">
        <v>189</v>
      </c>
      <c r="G316" s="381">
        <f>I248</f>
        <v>138.78333333333333</v>
      </c>
      <c r="H316" s="381">
        <f t="shared" ref="H316:R316" si="14">J248</f>
        <v>0</v>
      </c>
      <c r="I316" s="381">
        <f t="shared" si="14"/>
        <v>0</v>
      </c>
      <c r="J316" s="381">
        <f t="shared" si="14"/>
        <v>0</v>
      </c>
      <c r="K316" s="381">
        <f t="shared" si="14"/>
        <v>0</v>
      </c>
      <c r="L316" s="381">
        <f t="shared" si="14"/>
        <v>0</v>
      </c>
      <c r="M316" s="381">
        <f t="shared" si="14"/>
        <v>0</v>
      </c>
      <c r="N316" s="381">
        <f t="shared" si="14"/>
        <v>0</v>
      </c>
      <c r="O316" s="381">
        <f t="shared" si="14"/>
        <v>138.78333333333333</v>
      </c>
      <c r="P316" s="381">
        <f t="shared" si="14"/>
        <v>222.05333333333334</v>
      </c>
      <c r="Q316" s="381">
        <f t="shared" si="14"/>
        <v>277.56666666666666</v>
      </c>
      <c r="R316" s="381">
        <f t="shared" si="14"/>
        <v>222.05333333333334</v>
      </c>
      <c r="S316" s="502"/>
      <c r="T316" s="388">
        <f>AVERAGE(G316:R316)</f>
        <v>83.27</v>
      </c>
      <c r="U316" s="533" t="s">
        <v>195</v>
      </c>
      <c r="V316" s="586"/>
      <c r="W316" s="354"/>
      <c r="X316" s="574"/>
      <c r="Y316" s="574"/>
      <c r="Z316" s="355"/>
      <c r="AA316" s="355"/>
      <c r="AB316" s="355"/>
      <c r="AC316" s="355"/>
      <c r="AD316" s="355"/>
      <c r="AE316" s="355"/>
      <c r="AF316" s="355"/>
      <c r="AG316" s="355"/>
      <c r="AH316" s="355"/>
      <c r="AI316" s="355"/>
      <c r="AJ316" s="355"/>
      <c r="AK316" s="354"/>
      <c r="AL316" s="354"/>
      <c r="AM316" s="354"/>
      <c r="AN316" s="354"/>
    </row>
    <row r="317" spans="1:40" s="234" customFormat="1" ht="15" customHeight="1" x14ac:dyDescent="0.25">
      <c r="A317" s="354"/>
      <c r="B317" s="585"/>
      <c r="C317" s="499"/>
      <c r="D317" s="967" t="str">
        <f>R293</f>
        <v>Wildlife</v>
      </c>
      <c r="E317" s="968"/>
      <c r="F317" s="359" t="s">
        <v>188</v>
      </c>
      <c r="G317" s="494">
        <f>G318*30</f>
        <v>0</v>
      </c>
      <c r="H317" s="494">
        <f t="shared" ref="H317:R317" si="15">H318*30</f>
        <v>0</v>
      </c>
      <c r="I317" s="494">
        <f t="shared" si="15"/>
        <v>0</v>
      </c>
      <c r="J317" s="494">
        <f t="shared" si="15"/>
        <v>0</v>
      </c>
      <c r="K317" s="494">
        <f t="shared" si="15"/>
        <v>0</v>
      </c>
      <c r="L317" s="494">
        <f t="shared" si="15"/>
        <v>0</v>
      </c>
      <c r="M317" s="494">
        <f t="shared" si="15"/>
        <v>0</v>
      </c>
      <c r="N317" s="494">
        <f t="shared" si="15"/>
        <v>0</v>
      </c>
      <c r="O317" s="494">
        <f t="shared" si="15"/>
        <v>0</v>
      </c>
      <c r="P317" s="494">
        <f t="shared" si="15"/>
        <v>0</v>
      </c>
      <c r="Q317" s="494">
        <f t="shared" si="15"/>
        <v>0</v>
      </c>
      <c r="R317" s="494">
        <f t="shared" si="15"/>
        <v>0</v>
      </c>
      <c r="S317" s="502"/>
      <c r="T317" s="538">
        <f>SUM(G317:R317)</f>
        <v>0</v>
      </c>
      <c r="U317" s="535" t="s">
        <v>194</v>
      </c>
      <c r="V317" s="586"/>
      <c r="W317" s="354"/>
      <c r="X317" s="222"/>
      <c r="Y317" s="222"/>
      <c r="Z317" s="355"/>
      <c r="AA317" s="355"/>
      <c r="AB317" s="355"/>
      <c r="AC317" s="355"/>
      <c r="AD317" s="355"/>
      <c r="AE317" s="355"/>
      <c r="AF317" s="355"/>
      <c r="AG317" s="355"/>
      <c r="AH317" s="355"/>
      <c r="AI317" s="355"/>
      <c r="AJ317" s="355"/>
      <c r="AK317" s="354"/>
      <c r="AL317" s="354"/>
      <c r="AM317" s="354"/>
      <c r="AN317" s="354"/>
    </row>
    <row r="318" spans="1:40" s="234" customFormat="1" x14ac:dyDescent="0.25">
      <c r="A318" s="354"/>
      <c r="B318" s="585"/>
      <c r="C318" s="500"/>
      <c r="D318" s="496"/>
      <c r="E318" s="571"/>
      <c r="F318" s="360" t="s">
        <v>189</v>
      </c>
      <c r="G318" s="381">
        <f>$R$297</f>
        <v>0</v>
      </c>
      <c r="H318" s="381">
        <f t="shared" ref="H318:R318" si="16">$R$297</f>
        <v>0</v>
      </c>
      <c r="I318" s="381">
        <f t="shared" si="16"/>
        <v>0</v>
      </c>
      <c r="J318" s="381">
        <f t="shared" si="16"/>
        <v>0</v>
      </c>
      <c r="K318" s="381">
        <f t="shared" si="16"/>
        <v>0</v>
      </c>
      <c r="L318" s="381">
        <f t="shared" si="16"/>
        <v>0</v>
      </c>
      <c r="M318" s="381">
        <f t="shared" si="16"/>
        <v>0</v>
      </c>
      <c r="N318" s="381">
        <f t="shared" si="16"/>
        <v>0</v>
      </c>
      <c r="O318" s="381">
        <f t="shared" si="16"/>
        <v>0</v>
      </c>
      <c r="P318" s="381">
        <f t="shared" si="16"/>
        <v>0</v>
      </c>
      <c r="Q318" s="381">
        <f t="shared" si="16"/>
        <v>0</v>
      </c>
      <c r="R318" s="381">
        <f t="shared" si="16"/>
        <v>0</v>
      </c>
      <c r="S318" s="502"/>
      <c r="T318" s="388">
        <f>AVERAGE(G318:R318)</f>
        <v>0</v>
      </c>
      <c r="U318" s="533" t="s">
        <v>195</v>
      </c>
      <c r="V318" s="586"/>
      <c r="W318" s="354"/>
      <c r="X318" s="222"/>
      <c r="Y318" s="222"/>
      <c r="Z318" s="355"/>
      <c r="AA318" s="355"/>
      <c r="AB318" s="355"/>
      <c r="AC318" s="355"/>
      <c r="AD318" s="355"/>
      <c r="AE318" s="355"/>
      <c r="AF318" s="355"/>
      <c r="AG318" s="355"/>
      <c r="AH318" s="355"/>
      <c r="AI318" s="355"/>
      <c r="AJ318" s="355"/>
      <c r="AK318" s="354"/>
      <c r="AL318" s="354"/>
      <c r="AM318" s="354"/>
      <c r="AN318" s="354"/>
    </row>
    <row r="319" spans="1:40" s="234" customFormat="1" x14ac:dyDescent="0.25">
      <c r="A319" s="354"/>
      <c r="B319" s="585"/>
      <c r="C319" s="313"/>
      <c r="D319" s="572"/>
      <c r="E319" s="237"/>
      <c r="F319" s="213"/>
      <c r="G319" s="509"/>
      <c r="H319" s="509"/>
      <c r="I319" s="509"/>
      <c r="J319" s="509"/>
      <c r="K319" s="509"/>
      <c r="L319" s="509"/>
      <c r="M319" s="509"/>
      <c r="N319" s="509"/>
      <c r="O319" s="509"/>
      <c r="P319" s="509"/>
      <c r="Q319" s="509"/>
      <c r="R319" s="509"/>
      <c r="S319" s="502"/>
      <c r="T319" s="509"/>
      <c r="U319" s="502"/>
      <c r="V319" s="586"/>
      <c r="W319" s="354"/>
      <c r="X319" s="222"/>
      <c r="Y319" s="222"/>
      <c r="Z319" s="355"/>
      <c r="AA319" s="355"/>
      <c r="AB319" s="355"/>
      <c r="AC319" s="355"/>
      <c r="AD319" s="355"/>
      <c r="AE319" s="355"/>
      <c r="AF319" s="355"/>
      <c r="AG319" s="355"/>
      <c r="AH319" s="355"/>
      <c r="AI319" s="355"/>
      <c r="AJ319" s="355"/>
      <c r="AK319" s="354"/>
      <c r="AL319" s="354"/>
      <c r="AM319" s="354"/>
      <c r="AN319" s="354"/>
    </row>
    <row r="320" spans="1:40" s="234" customFormat="1" x14ac:dyDescent="0.25">
      <c r="A320" s="354"/>
      <c r="B320" s="585"/>
      <c r="C320" s="498">
        <f>F22</f>
        <v>2013</v>
      </c>
      <c r="D320" s="1007" t="s">
        <v>25</v>
      </c>
      <c r="E320" s="1008"/>
      <c r="F320" s="503" t="s">
        <v>188</v>
      </c>
      <c r="G320" s="512">
        <f>G309+G311+G313+G317+G315</f>
        <v>58609.963832085326</v>
      </c>
      <c r="H320" s="512">
        <f t="shared" ref="H320:R320" si="17">H309+H311+H313+H317+H315</f>
        <v>43062.455963489352</v>
      </c>
      <c r="I320" s="512">
        <f t="shared" si="17"/>
        <v>43062.455963489352</v>
      </c>
      <c r="J320" s="512">
        <f t="shared" si="17"/>
        <v>46128.096812294476</v>
      </c>
      <c r="K320" s="512">
        <f t="shared" si="17"/>
        <v>49487.271735807735</v>
      </c>
      <c r="L320" s="512">
        <f t="shared" si="17"/>
        <v>54362.091591162476</v>
      </c>
      <c r="M320" s="512">
        <f t="shared" si="17"/>
        <v>49863.619446461111</v>
      </c>
      <c r="N320" s="512">
        <f t="shared" si="17"/>
        <v>43062.455963489352</v>
      </c>
      <c r="O320" s="512">
        <f t="shared" si="17"/>
        <v>47225.955963489352</v>
      </c>
      <c r="P320" s="512">
        <f t="shared" si="17"/>
        <v>54148.840778804457</v>
      </c>
      <c r="Q320" s="512">
        <f t="shared" si="17"/>
        <v>58061.057119842735</v>
      </c>
      <c r="R320" s="512">
        <f t="shared" si="17"/>
        <v>53123.673505212915</v>
      </c>
      <c r="S320" s="502"/>
      <c r="T320" s="530">
        <f>SUM(G320:R320)</f>
        <v>600197.93867562863</v>
      </c>
      <c r="U320" s="532" t="s">
        <v>194</v>
      </c>
      <c r="V320" s="586"/>
      <c r="W320" s="354"/>
      <c r="X320" s="222"/>
      <c r="Y320" s="222"/>
      <c r="Z320" s="355"/>
      <c r="AA320" s="355"/>
      <c r="AB320" s="355"/>
      <c r="AC320" s="355"/>
      <c r="AD320" s="355"/>
      <c r="AE320" s="355"/>
      <c r="AF320" s="355"/>
      <c r="AG320" s="355"/>
      <c r="AH320" s="355"/>
      <c r="AI320" s="355"/>
      <c r="AJ320" s="355"/>
      <c r="AK320" s="354"/>
      <c r="AL320" s="354"/>
      <c r="AM320" s="354"/>
      <c r="AN320" s="354"/>
    </row>
    <row r="321" spans="1:40" s="234" customFormat="1" x14ac:dyDescent="0.25">
      <c r="A321" s="354"/>
      <c r="B321" s="585"/>
      <c r="C321" s="500"/>
      <c r="D321" s="516"/>
      <c r="E321" s="514"/>
      <c r="F321" s="506" t="s">
        <v>189</v>
      </c>
      <c r="G321" s="515">
        <f>G310+G312+G314+G318+G316</f>
        <v>1953.6654610695109</v>
      </c>
      <c r="H321" s="515">
        <f t="shared" ref="H321:R321" si="18">H310+H312+H314+H318+H316</f>
        <v>1435.4151987829782</v>
      </c>
      <c r="I321" s="515">
        <f t="shared" si="18"/>
        <v>1435.4151987829782</v>
      </c>
      <c r="J321" s="515">
        <f t="shared" si="18"/>
        <v>1537.6032270764822</v>
      </c>
      <c r="K321" s="515">
        <f t="shared" si="18"/>
        <v>1649.5757245269242</v>
      </c>
      <c r="L321" s="515">
        <f t="shared" si="18"/>
        <v>1812.0697197054158</v>
      </c>
      <c r="M321" s="515">
        <f t="shared" si="18"/>
        <v>1662.1206482153702</v>
      </c>
      <c r="N321" s="515">
        <f t="shared" si="18"/>
        <v>1435.4151987829782</v>
      </c>
      <c r="O321" s="515">
        <f t="shared" si="18"/>
        <v>1574.1985321163115</v>
      </c>
      <c r="P321" s="515">
        <f t="shared" si="18"/>
        <v>1804.9613592934816</v>
      </c>
      <c r="Q321" s="515">
        <f t="shared" si="18"/>
        <v>1935.3685706614242</v>
      </c>
      <c r="R321" s="515">
        <f t="shared" si="18"/>
        <v>1770.7891168404303</v>
      </c>
      <c r="S321" s="502"/>
      <c r="T321" s="531">
        <f>AVERAGE(G321:R321)</f>
        <v>1667.2164963211908</v>
      </c>
      <c r="U321" s="533" t="s">
        <v>195</v>
      </c>
      <c r="V321" s="586"/>
      <c r="W321" s="354"/>
      <c r="X321" s="222"/>
      <c r="Y321" s="222"/>
      <c r="Z321" s="355"/>
      <c r="AA321" s="355"/>
      <c r="AB321" s="355"/>
      <c r="AC321" s="355"/>
      <c r="AD321" s="355"/>
      <c r="AE321" s="355"/>
      <c r="AF321" s="355"/>
      <c r="AG321" s="355"/>
      <c r="AH321" s="355"/>
      <c r="AI321" s="355"/>
      <c r="AJ321" s="355"/>
      <c r="AK321" s="354"/>
      <c r="AL321" s="354"/>
      <c r="AM321" s="354"/>
      <c r="AN321" s="354"/>
    </row>
    <row r="322" spans="1:40" s="234" customFormat="1" x14ac:dyDescent="0.25">
      <c r="A322" s="354"/>
      <c r="B322" s="585"/>
      <c r="C322" s="313"/>
      <c r="D322" s="504"/>
      <c r="E322" s="505"/>
      <c r="F322" s="510"/>
      <c r="G322" s="511"/>
      <c r="H322" s="511"/>
      <c r="I322" s="511"/>
      <c r="J322" s="511"/>
      <c r="K322" s="511"/>
      <c r="L322" s="511"/>
      <c r="M322" s="511"/>
      <c r="N322" s="511"/>
      <c r="O322" s="511"/>
      <c r="P322" s="511"/>
      <c r="Q322" s="511"/>
      <c r="R322" s="511"/>
      <c r="S322" s="502"/>
      <c r="T322" s="511"/>
      <c r="U322" s="502"/>
      <c r="V322" s="586"/>
      <c r="W322" s="354"/>
      <c r="X322" s="222"/>
      <c r="Y322" s="222"/>
      <c r="Z322" s="355"/>
      <c r="AA322" s="355"/>
      <c r="AB322" s="355"/>
      <c r="AC322" s="355"/>
      <c r="AD322" s="355"/>
      <c r="AE322" s="355"/>
      <c r="AF322" s="355"/>
      <c r="AG322" s="355"/>
      <c r="AH322" s="355"/>
      <c r="AI322" s="355"/>
      <c r="AJ322" s="355"/>
      <c r="AK322" s="354"/>
      <c r="AL322" s="354"/>
      <c r="AM322" s="354"/>
      <c r="AN322" s="354"/>
    </row>
    <row r="323" spans="1:40" s="234" customFormat="1" ht="15" customHeight="1" x14ac:dyDescent="0.25">
      <c r="A323" s="354"/>
      <c r="B323" s="585"/>
      <c r="C323" s="498">
        <f>F24</f>
        <v>2023</v>
      </c>
      <c r="D323" s="967" t="str">
        <f>J293</f>
        <v>Basic domestic</v>
      </c>
      <c r="E323" s="968"/>
      <c r="F323" s="359" t="s">
        <v>188</v>
      </c>
      <c r="G323" s="380">
        <f t="shared" ref="G323:R323" si="19">G324*30</f>
        <v>23793.338889915864</v>
      </c>
      <c r="H323" s="380">
        <f t="shared" si="19"/>
        <v>23793.338889915864</v>
      </c>
      <c r="I323" s="380">
        <f t="shared" si="19"/>
        <v>23793.338889915864</v>
      </c>
      <c r="J323" s="380">
        <f t="shared" si="19"/>
        <v>23793.338889915864</v>
      </c>
      <c r="K323" s="380">
        <f t="shared" si="19"/>
        <v>23793.338889915864</v>
      </c>
      <c r="L323" s="380">
        <f t="shared" si="19"/>
        <v>23793.338889915864</v>
      </c>
      <c r="M323" s="380">
        <f t="shared" si="19"/>
        <v>23793.338889915864</v>
      </c>
      <c r="N323" s="380">
        <f t="shared" si="19"/>
        <v>23793.338889915864</v>
      </c>
      <c r="O323" s="380">
        <f t="shared" si="19"/>
        <v>23793.338889915864</v>
      </c>
      <c r="P323" s="380">
        <f t="shared" si="19"/>
        <v>23793.338889915864</v>
      </c>
      <c r="Q323" s="380">
        <f t="shared" si="19"/>
        <v>23793.338889915864</v>
      </c>
      <c r="R323" s="380">
        <f t="shared" si="19"/>
        <v>23793.338889915864</v>
      </c>
      <c r="S323" s="502"/>
      <c r="T323" s="537">
        <f>SUM(G323:R323)</f>
        <v>285520.06667899044</v>
      </c>
      <c r="U323" s="532" t="s">
        <v>194</v>
      </c>
      <c r="V323" s="586"/>
      <c r="W323" s="354"/>
      <c r="X323" s="222"/>
      <c r="Y323" s="222"/>
      <c r="Z323" s="355"/>
      <c r="AA323" s="355"/>
      <c r="AB323" s="355"/>
      <c r="AC323" s="355"/>
      <c r="AD323" s="355"/>
      <c r="AE323" s="355"/>
      <c r="AF323" s="355"/>
      <c r="AG323" s="355"/>
      <c r="AH323" s="355"/>
      <c r="AI323" s="355"/>
      <c r="AJ323" s="355"/>
      <c r="AK323" s="354"/>
      <c r="AL323" s="354"/>
      <c r="AM323" s="354"/>
      <c r="AN323" s="354"/>
    </row>
    <row r="324" spans="1:40" s="234" customFormat="1" x14ac:dyDescent="0.25">
      <c r="A324" s="354"/>
      <c r="B324" s="585"/>
      <c r="C324" s="499"/>
      <c r="D324" s="572"/>
      <c r="E324" s="313"/>
      <c r="F324" s="495" t="s">
        <v>189</v>
      </c>
      <c r="G324" s="501">
        <f>$J$299</f>
        <v>793.11129633052883</v>
      </c>
      <c r="H324" s="501">
        <f t="shared" ref="H324:R324" si="20">$J$299</f>
        <v>793.11129633052883</v>
      </c>
      <c r="I324" s="501">
        <f t="shared" si="20"/>
        <v>793.11129633052883</v>
      </c>
      <c r="J324" s="501">
        <f t="shared" si="20"/>
        <v>793.11129633052883</v>
      </c>
      <c r="K324" s="501">
        <f t="shared" si="20"/>
        <v>793.11129633052883</v>
      </c>
      <c r="L324" s="501">
        <f t="shared" si="20"/>
        <v>793.11129633052883</v>
      </c>
      <c r="M324" s="501">
        <f t="shared" si="20"/>
        <v>793.11129633052883</v>
      </c>
      <c r="N324" s="501">
        <f t="shared" si="20"/>
        <v>793.11129633052883</v>
      </c>
      <c r="O324" s="501">
        <f t="shared" si="20"/>
        <v>793.11129633052883</v>
      </c>
      <c r="P324" s="501">
        <f t="shared" si="20"/>
        <v>793.11129633052883</v>
      </c>
      <c r="Q324" s="501">
        <f t="shared" si="20"/>
        <v>793.11129633052883</v>
      </c>
      <c r="R324" s="501">
        <f t="shared" si="20"/>
        <v>793.11129633052883</v>
      </c>
      <c r="S324" s="502"/>
      <c r="T324" s="538">
        <f>AVERAGE(G324:R324)</f>
        <v>793.11129633052872</v>
      </c>
      <c r="U324" s="535" t="s">
        <v>195</v>
      </c>
      <c r="V324" s="586"/>
      <c r="W324" s="354"/>
      <c r="X324" s="222"/>
      <c r="Y324" s="222"/>
      <c r="Z324" s="355"/>
      <c r="AA324" s="355"/>
      <c r="AB324" s="355"/>
      <c r="AC324" s="355"/>
      <c r="AD324" s="355"/>
      <c r="AE324" s="355"/>
      <c r="AF324" s="355"/>
      <c r="AG324" s="355"/>
      <c r="AH324" s="355"/>
      <c r="AI324" s="355"/>
      <c r="AJ324" s="355"/>
      <c r="AK324" s="354"/>
      <c r="AL324" s="354"/>
      <c r="AM324" s="354"/>
      <c r="AN324" s="354"/>
    </row>
    <row r="325" spans="1:40" s="234" customFormat="1" x14ac:dyDescent="0.25">
      <c r="A325" s="354"/>
      <c r="B325" s="585"/>
      <c r="C325" s="499"/>
      <c r="D325" s="967" t="str">
        <f>L293</f>
        <v>Livestock</v>
      </c>
      <c r="E325" s="968"/>
      <c r="F325" s="359" t="s">
        <v>188</v>
      </c>
      <c r="G325" s="380">
        <f t="shared" ref="G325:R325" si="21">G326*30</f>
        <v>34079.001014202411</v>
      </c>
      <c r="H325" s="380">
        <f t="shared" si="21"/>
        <v>34079.001014202411</v>
      </c>
      <c r="I325" s="380">
        <f t="shared" si="21"/>
        <v>34079.001014202411</v>
      </c>
      <c r="J325" s="380">
        <f t="shared" si="21"/>
        <v>34079.001014202411</v>
      </c>
      <c r="K325" s="380">
        <f t="shared" si="21"/>
        <v>34079.001014202411</v>
      </c>
      <c r="L325" s="380">
        <f t="shared" si="21"/>
        <v>34079.001014202411</v>
      </c>
      <c r="M325" s="380">
        <f t="shared" si="21"/>
        <v>34079.001014202411</v>
      </c>
      <c r="N325" s="380">
        <f t="shared" si="21"/>
        <v>34079.001014202411</v>
      </c>
      <c r="O325" s="380">
        <f t="shared" si="21"/>
        <v>34079.001014202411</v>
      </c>
      <c r="P325" s="380">
        <f t="shared" si="21"/>
        <v>34079.001014202411</v>
      </c>
      <c r="Q325" s="380">
        <f t="shared" si="21"/>
        <v>34079.001014202411</v>
      </c>
      <c r="R325" s="380">
        <f t="shared" si="21"/>
        <v>34079.001014202411</v>
      </c>
      <c r="S325" s="502"/>
      <c r="T325" s="537">
        <f>SUM(G325:R325)</f>
        <v>408948.01217042905</v>
      </c>
      <c r="U325" s="532" t="s">
        <v>194</v>
      </c>
      <c r="V325" s="586"/>
      <c r="W325" s="354"/>
      <c r="X325" s="222"/>
      <c r="Y325" s="222"/>
      <c r="Z325" s="355"/>
      <c r="AA325" s="355"/>
      <c r="AB325" s="355"/>
      <c r="AC325" s="355"/>
      <c r="AD325" s="355"/>
      <c r="AE325" s="355"/>
      <c r="AF325" s="355"/>
      <c r="AG325" s="355"/>
      <c r="AH325" s="355"/>
      <c r="AI325" s="355"/>
      <c r="AJ325" s="355"/>
      <c r="AK325" s="354"/>
      <c r="AL325" s="354"/>
      <c r="AM325" s="354"/>
      <c r="AN325" s="354"/>
    </row>
    <row r="326" spans="1:40" s="234" customFormat="1" ht="15" customHeight="1" x14ac:dyDescent="0.25">
      <c r="A326" s="354"/>
      <c r="B326" s="585"/>
      <c r="C326" s="499"/>
      <c r="D326" s="1142" t="str">
        <f>L295</f>
        <v>FEWSNET estimates</v>
      </c>
      <c r="E326" s="1004"/>
      <c r="F326" s="495" t="s">
        <v>189</v>
      </c>
      <c r="G326" s="501">
        <f>$L$299</f>
        <v>1135.9667004734138</v>
      </c>
      <c r="H326" s="501">
        <f t="shared" ref="H326:R326" si="22">$L$299</f>
        <v>1135.9667004734138</v>
      </c>
      <c r="I326" s="501">
        <f t="shared" si="22"/>
        <v>1135.9667004734138</v>
      </c>
      <c r="J326" s="501">
        <f t="shared" si="22"/>
        <v>1135.9667004734138</v>
      </c>
      <c r="K326" s="501">
        <f t="shared" si="22"/>
        <v>1135.9667004734138</v>
      </c>
      <c r="L326" s="501">
        <f t="shared" si="22"/>
        <v>1135.9667004734138</v>
      </c>
      <c r="M326" s="501">
        <f t="shared" si="22"/>
        <v>1135.9667004734138</v>
      </c>
      <c r="N326" s="501">
        <f t="shared" si="22"/>
        <v>1135.9667004734138</v>
      </c>
      <c r="O326" s="501">
        <f t="shared" si="22"/>
        <v>1135.9667004734138</v>
      </c>
      <c r="P326" s="501">
        <f t="shared" si="22"/>
        <v>1135.9667004734138</v>
      </c>
      <c r="Q326" s="501">
        <f t="shared" si="22"/>
        <v>1135.9667004734138</v>
      </c>
      <c r="R326" s="501">
        <f t="shared" si="22"/>
        <v>1135.9667004734138</v>
      </c>
      <c r="S326" s="502"/>
      <c r="T326" s="538">
        <f>AVERAGE(G326:R326)</f>
        <v>1135.966700473414</v>
      </c>
      <c r="U326" s="535" t="s">
        <v>195</v>
      </c>
      <c r="V326" s="586"/>
      <c r="W326" s="354"/>
      <c r="X326" s="222"/>
      <c r="Y326" s="222"/>
      <c r="Z326" s="355"/>
      <c r="AA326" s="355"/>
      <c r="AB326" s="355"/>
      <c r="AC326" s="355"/>
      <c r="AD326" s="355"/>
      <c r="AE326" s="355"/>
      <c r="AF326" s="355"/>
      <c r="AG326" s="355"/>
      <c r="AH326" s="355"/>
      <c r="AI326" s="355"/>
      <c r="AJ326" s="355"/>
      <c r="AK326" s="354"/>
      <c r="AL326" s="354"/>
      <c r="AM326" s="354"/>
      <c r="AN326" s="354"/>
    </row>
    <row r="327" spans="1:40" s="234" customFormat="1" ht="15" customHeight="1" x14ac:dyDescent="0.25">
      <c r="A327" s="354"/>
      <c r="B327" s="585"/>
      <c r="C327" s="499"/>
      <c r="D327" s="967" t="str">
        <f>N293</f>
        <v>Agriculture</v>
      </c>
      <c r="E327" s="968"/>
      <c r="F327" s="359" t="s">
        <v>188</v>
      </c>
      <c r="G327" s="380">
        <f t="shared" ref="G327:R328" si="23">I194</f>
        <v>15299.1546371885</v>
      </c>
      <c r="H327" s="380">
        <f t="shared" si="23"/>
        <v>0</v>
      </c>
      <c r="I327" s="380">
        <f t="shared" si="23"/>
        <v>0</v>
      </c>
      <c r="J327" s="380">
        <f t="shared" si="23"/>
        <v>4119.9649498956196</v>
      </c>
      <c r="K327" s="380">
        <f t="shared" si="23"/>
        <v>8634.415150687124</v>
      </c>
      <c r="L327" s="380">
        <f t="shared" si="23"/>
        <v>15185.765400650307</v>
      </c>
      <c r="M327" s="380">
        <f t="shared" si="23"/>
        <v>9140.1950033628655</v>
      </c>
      <c r="N327" s="380">
        <f t="shared" si="23"/>
        <v>0</v>
      </c>
      <c r="O327" s="380">
        <f t="shared" si="23"/>
        <v>0</v>
      </c>
      <c r="P327" s="380">
        <f t="shared" si="23"/>
        <v>5946.5407883751241</v>
      </c>
      <c r="Q327" s="380">
        <f t="shared" si="23"/>
        <v>8966.0740704744967</v>
      </c>
      <c r="R327" s="380">
        <f t="shared" si="23"/>
        <v>4568.8016978278965</v>
      </c>
      <c r="S327" s="502"/>
      <c r="T327" s="537">
        <f>SUM(G327:R327)</f>
        <v>71860.911698461932</v>
      </c>
      <c r="U327" s="532" t="s">
        <v>194</v>
      </c>
      <c r="V327" s="586"/>
      <c r="W327" s="354"/>
      <c r="X327" s="222"/>
      <c r="Y327" s="222"/>
      <c r="Z327" s="355"/>
      <c r="AA327" s="355"/>
      <c r="AB327" s="355"/>
      <c r="AC327" s="355"/>
      <c r="AD327" s="355"/>
      <c r="AE327" s="355"/>
      <c r="AF327" s="355"/>
      <c r="AG327" s="355"/>
      <c r="AH327" s="355"/>
      <c r="AI327" s="355"/>
      <c r="AJ327" s="355"/>
      <c r="AK327" s="354"/>
      <c r="AL327" s="354"/>
      <c r="AM327" s="354"/>
      <c r="AN327" s="354"/>
    </row>
    <row r="328" spans="1:40" s="234" customFormat="1" x14ac:dyDescent="0.25">
      <c r="A328" s="354"/>
      <c r="B328" s="585"/>
      <c r="C328" s="499"/>
      <c r="D328" s="572"/>
      <c r="E328" s="313"/>
      <c r="F328" s="495" t="s">
        <v>189</v>
      </c>
      <c r="G328" s="501">
        <f t="shared" si="23"/>
        <v>509.97182123961665</v>
      </c>
      <c r="H328" s="501">
        <f t="shared" si="23"/>
        <v>0</v>
      </c>
      <c r="I328" s="501">
        <f t="shared" si="23"/>
        <v>0</v>
      </c>
      <c r="J328" s="501">
        <f t="shared" si="23"/>
        <v>137.33216499652065</v>
      </c>
      <c r="K328" s="501">
        <f t="shared" si="23"/>
        <v>287.81383835623745</v>
      </c>
      <c r="L328" s="501">
        <f t="shared" si="23"/>
        <v>506.1921800216769</v>
      </c>
      <c r="M328" s="501">
        <f t="shared" si="23"/>
        <v>304.67316677876221</v>
      </c>
      <c r="N328" s="501">
        <f t="shared" si="23"/>
        <v>0</v>
      </c>
      <c r="O328" s="501">
        <f t="shared" si="23"/>
        <v>0</v>
      </c>
      <c r="P328" s="501">
        <f t="shared" si="23"/>
        <v>198.2180262791708</v>
      </c>
      <c r="Q328" s="501">
        <f t="shared" si="23"/>
        <v>298.8691356824832</v>
      </c>
      <c r="R328" s="501">
        <f t="shared" si="23"/>
        <v>152.29338992759656</v>
      </c>
      <c r="S328" s="502"/>
      <c r="T328" s="388">
        <f>AVERAGE(G328:R328)</f>
        <v>199.61364360683874</v>
      </c>
      <c r="U328" s="533" t="s">
        <v>195</v>
      </c>
      <c r="V328" s="586"/>
      <c r="W328" s="354"/>
      <c r="X328" s="222"/>
      <c r="Y328" s="222"/>
      <c r="Z328" s="355"/>
      <c r="AA328" s="355"/>
      <c r="AB328" s="355"/>
      <c r="AC328" s="355"/>
      <c r="AD328" s="355"/>
      <c r="AE328" s="355"/>
      <c r="AF328" s="355"/>
      <c r="AG328" s="355"/>
      <c r="AH328" s="355"/>
      <c r="AI328" s="355"/>
      <c r="AJ328" s="355"/>
      <c r="AK328" s="354"/>
      <c r="AL328" s="354"/>
      <c r="AM328" s="354"/>
      <c r="AN328" s="354"/>
    </row>
    <row r="329" spans="1:40" s="234" customFormat="1" x14ac:dyDescent="0.25">
      <c r="A329" s="354"/>
      <c r="B329" s="585"/>
      <c r="C329" s="499"/>
      <c r="D329" s="967" t="str">
        <f>P293</f>
        <v>Seasonal livestock</v>
      </c>
      <c r="E329" s="968"/>
      <c r="F329" s="359" t="s">
        <v>188</v>
      </c>
      <c r="G329" s="494">
        <f>I249</f>
        <v>5595.3958453992509</v>
      </c>
      <c r="H329" s="494">
        <f t="shared" ref="H329:R329" si="24">J249</f>
        <v>0</v>
      </c>
      <c r="I329" s="494">
        <f t="shared" si="24"/>
        <v>0</v>
      </c>
      <c r="J329" s="494">
        <f t="shared" si="24"/>
        <v>0</v>
      </c>
      <c r="K329" s="494">
        <f t="shared" si="24"/>
        <v>0</v>
      </c>
      <c r="L329" s="494">
        <f t="shared" si="24"/>
        <v>0</v>
      </c>
      <c r="M329" s="494">
        <f t="shared" si="24"/>
        <v>0</v>
      </c>
      <c r="N329" s="494">
        <f t="shared" si="24"/>
        <v>0</v>
      </c>
      <c r="O329" s="494">
        <f t="shared" si="24"/>
        <v>5595.3958453992509</v>
      </c>
      <c r="P329" s="494">
        <f t="shared" si="24"/>
        <v>8952.6333526388025</v>
      </c>
      <c r="Q329" s="494">
        <f t="shared" si="24"/>
        <v>11190.791690798502</v>
      </c>
      <c r="R329" s="494">
        <f t="shared" si="24"/>
        <v>8952.6333526388025</v>
      </c>
      <c r="S329" s="502"/>
      <c r="T329" s="538">
        <f>SUM(G329:R329)</f>
        <v>40286.850086874605</v>
      </c>
      <c r="U329" s="535" t="s">
        <v>194</v>
      </c>
      <c r="V329" s="586"/>
      <c r="W329" s="354"/>
      <c r="X329" s="574"/>
      <c r="Y329" s="574"/>
      <c r="Z329" s="355"/>
      <c r="AA329" s="355"/>
      <c r="AB329" s="355"/>
      <c r="AC329" s="355"/>
      <c r="AD329" s="355"/>
      <c r="AE329" s="355"/>
      <c r="AF329" s="355"/>
      <c r="AG329" s="355"/>
      <c r="AH329" s="355"/>
      <c r="AI329" s="355"/>
      <c r="AJ329" s="355"/>
      <c r="AK329" s="354"/>
      <c r="AL329" s="354"/>
      <c r="AM329" s="354"/>
      <c r="AN329" s="354"/>
    </row>
    <row r="330" spans="1:40" s="234" customFormat="1" x14ac:dyDescent="0.25">
      <c r="A330" s="354"/>
      <c r="B330" s="585"/>
      <c r="C330" s="499"/>
      <c r="D330" s="496"/>
      <c r="E330" s="571"/>
      <c r="F330" s="360" t="s">
        <v>189</v>
      </c>
      <c r="G330" s="381">
        <f>I250</f>
        <v>186.51319484664171</v>
      </c>
      <c r="H330" s="381">
        <f t="shared" ref="H330:R330" si="25">J250</f>
        <v>0</v>
      </c>
      <c r="I330" s="381">
        <f t="shared" si="25"/>
        <v>0</v>
      </c>
      <c r="J330" s="381">
        <f t="shared" si="25"/>
        <v>0</v>
      </c>
      <c r="K330" s="381">
        <f t="shared" si="25"/>
        <v>0</v>
      </c>
      <c r="L330" s="381">
        <f t="shared" si="25"/>
        <v>0</v>
      </c>
      <c r="M330" s="381">
        <f t="shared" si="25"/>
        <v>0</v>
      </c>
      <c r="N330" s="381">
        <f t="shared" si="25"/>
        <v>0</v>
      </c>
      <c r="O330" s="381">
        <f t="shared" si="25"/>
        <v>186.51319484664171</v>
      </c>
      <c r="P330" s="381">
        <f t="shared" si="25"/>
        <v>298.42111175462674</v>
      </c>
      <c r="Q330" s="381">
        <f t="shared" si="25"/>
        <v>373.02638969328342</v>
      </c>
      <c r="R330" s="381">
        <f t="shared" si="25"/>
        <v>298.42111175462674</v>
      </c>
      <c r="S330" s="502"/>
      <c r="T330" s="388">
        <f>AVERAGE(G330:R330)</f>
        <v>111.90791690798501</v>
      </c>
      <c r="U330" s="533" t="s">
        <v>195</v>
      </c>
      <c r="V330" s="586"/>
      <c r="W330" s="354"/>
      <c r="X330" s="574"/>
      <c r="Y330" s="574"/>
      <c r="Z330" s="355"/>
      <c r="AA330" s="355"/>
      <c r="AB330" s="355"/>
      <c r="AC330" s="355"/>
      <c r="AD330" s="355"/>
      <c r="AE330" s="355"/>
      <c r="AF330" s="355"/>
      <c r="AG330" s="355"/>
      <c r="AH330" s="355"/>
      <c r="AI330" s="355"/>
      <c r="AJ330" s="355"/>
      <c r="AK330" s="354"/>
      <c r="AL330" s="354"/>
      <c r="AM330" s="354"/>
      <c r="AN330" s="354"/>
    </row>
    <row r="331" spans="1:40" s="234" customFormat="1" ht="15" customHeight="1" x14ac:dyDescent="0.25">
      <c r="A331" s="354"/>
      <c r="B331" s="585"/>
      <c r="C331" s="499"/>
      <c r="D331" s="967" t="str">
        <f>R293</f>
        <v>Wildlife</v>
      </c>
      <c r="E331" s="968"/>
      <c r="F331" s="359" t="s">
        <v>188</v>
      </c>
      <c r="G331" s="494">
        <f>G332*30</f>
        <v>0</v>
      </c>
      <c r="H331" s="494">
        <f t="shared" ref="H331:R331" si="26">H332*30</f>
        <v>0</v>
      </c>
      <c r="I331" s="494">
        <f t="shared" si="26"/>
        <v>0</v>
      </c>
      <c r="J331" s="494">
        <f t="shared" si="26"/>
        <v>0</v>
      </c>
      <c r="K331" s="494">
        <f t="shared" si="26"/>
        <v>0</v>
      </c>
      <c r="L331" s="494">
        <f t="shared" si="26"/>
        <v>0</v>
      </c>
      <c r="M331" s="494">
        <f t="shared" si="26"/>
        <v>0</v>
      </c>
      <c r="N331" s="494">
        <f t="shared" si="26"/>
        <v>0</v>
      </c>
      <c r="O331" s="494">
        <f t="shared" si="26"/>
        <v>0</v>
      </c>
      <c r="P331" s="494">
        <f t="shared" si="26"/>
        <v>0</v>
      </c>
      <c r="Q331" s="494">
        <f t="shared" si="26"/>
        <v>0</v>
      </c>
      <c r="R331" s="494">
        <f t="shared" si="26"/>
        <v>0</v>
      </c>
      <c r="S331" s="502"/>
      <c r="T331" s="538">
        <f>SUM(G331:R331)</f>
        <v>0</v>
      </c>
      <c r="U331" s="535" t="s">
        <v>194</v>
      </c>
      <c r="V331" s="586"/>
      <c r="W331" s="354"/>
      <c r="X331" s="222"/>
      <c r="Y331" s="222"/>
      <c r="Z331" s="355"/>
      <c r="AA331" s="355"/>
      <c r="AB331" s="355"/>
      <c r="AC331" s="355"/>
      <c r="AD331" s="355"/>
      <c r="AE331" s="355"/>
      <c r="AF331" s="355"/>
      <c r="AG331" s="355"/>
      <c r="AH331" s="355"/>
      <c r="AI331" s="355"/>
      <c r="AJ331" s="355"/>
      <c r="AK331" s="354"/>
      <c r="AL331" s="354"/>
      <c r="AM331" s="354"/>
      <c r="AN331" s="354"/>
    </row>
    <row r="332" spans="1:40" customFormat="1" x14ac:dyDescent="0.25">
      <c r="A332" s="8"/>
      <c r="B332" s="13"/>
      <c r="C332" s="500"/>
      <c r="D332" s="496"/>
      <c r="E332" s="571"/>
      <c r="F332" s="360" t="s">
        <v>189</v>
      </c>
      <c r="G332" s="381">
        <f>$R$299</f>
        <v>0</v>
      </c>
      <c r="H332" s="381">
        <f t="shared" ref="H332:R332" si="27">$R$299</f>
        <v>0</v>
      </c>
      <c r="I332" s="381">
        <f t="shared" si="27"/>
        <v>0</v>
      </c>
      <c r="J332" s="381">
        <f t="shared" si="27"/>
        <v>0</v>
      </c>
      <c r="K332" s="381">
        <f t="shared" si="27"/>
        <v>0</v>
      </c>
      <c r="L332" s="381">
        <f t="shared" si="27"/>
        <v>0</v>
      </c>
      <c r="M332" s="381">
        <f t="shared" si="27"/>
        <v>0</v>
      </c>
      <c r="N332" s="381">
        <f t="shared" si="27"/>
        <v>0</v>
      </c>
      <c r="O332" s="381">
        <f t="shared" si="27"/>
        <v>0</v>
      </c>
      <c r="P332" s="381">
        <f t="shared" si="27"/>
        <v>0</v>
      </c>
      <c r="Q332" s="381">
        <f t="shared" si="27"/>
        <v>0</v>
      </c>
      <c r="R332" s="381">
        <f t="shared" si="27"/>
        <v>0</v>
      </c>
      <c r="S332" s="502"/>
      <c r="T332" s="388">
        <f>AVERAGE(G332:R332)</f>
        <v>0</v>
      </c>
      <c r="U332" s="533" t="s">
        <v>195</v>
      </c>
      <c r="V332" s="18"/>
      <c r="W332" s="8"/>
      <c r="X332" s="222"/>
      <c r="Y332" s="222"/>
      <c r="Z332" s="355"/>
      <c r="AA332" s="355"/>
      <c r="AB332" s="355"/>
      <c r="AC332" s="355"/>
      <c r="AD332" s="355"/>
      <c r="AE332" s="355"/>
      <c r="AF332" s="355"/>
      <c r="AG332" s="355"/>
      <c r="AH332" s="355"/>
      <c r="AI332" s="355"/>
      <c r="AJ332" s="355"/>
      <c r="AK332" s="354"/>
      <c r="AL332" s="354"/>
      <c r="AM332" s="354"/>
      <c r="AN332" s="354"/>
    </row>
    <row r="333" spans="1:40" customFormat="1" x14ac:dyDescent="0.25">
      <c r="A333" s="8"/>
      <c r="B333" s="13"/>
      <c r="C333" s="313"/>
      <c r="D333" s="572"/>
      <c r="E333" s="237"/>
      <c r="F333" s="213"/>
      <c r="G333" s="509"/>
      <c r="H333" s="509"/>
      <c r="I333" s="509"/>
      <c r="J333" s="509"/>
      <c r="K333" s="509"/>
      <c r="L333" s="509"/>
      <c r="M333" s="509"/>
      <c r="N333" s="509"/>
      <c r="O333" s="509"/>
      <c r="P333" s="509"/>
      <c r="Q333" s="509"/>
      <c r="R333" s="509"/>
      <c r="S333" s="502"/>
      <c r="T333" s="509"/>
      <c r="U333" s="502"/>
      <c r="V333" s="18"/>
      <c r="W333" s="8"/>
      <c r="X333" s="222"/>
      <c r="Y333" s="222"/>
      <c r="Z333" s="355"/>
      <c r="AA333" s="355"/>
      <c r="AB333" s="355"/>
      <c r="AC333" s="355"/>
      <c r="AD333" s="355"/>
      <c r="AE333" s="355"/>
      <c r="AF333" s="355"/>
      <c r="AG333" s="355"/>
      <c r="AH333" s="355"/>
      <c r="AI333" s="355"/>
      <c r="AJ333" s="355"/>
      <c r="AK333" s="354"/>
      <c r="AL333" s="354"/>
      <c r="AM333" s="354"/>
      <c r="AN333" s="354"/>
    </row>
    <row r="334" spans="1:40" customFormat="1" x14ac:dyDescent="0.25">
      <c r="A334" s="8"/>
      <c r="B334" s="13"/>
      <c r="C334" s="498">
        <f>F24</f>
        <v>2023</v>
      </c>
      <c r="D334" s="1007" t="s">
        <v>25</v>
      </c>
      <c r="E334" s="1008"/>
      <c r="F334" s="503" t="s">
        <v>188</v>
      </c>
      <c r="G334" s="507">
        <f>G323+G325+G327+G331+G329</f>
        <v>78766.890386706029</v>
      </c>
      <c r="H334" s="507">
        <f t="shared" ref="H334:R334" si="28">H323+H325+H327+H331+H329</f>
        <v>57872.339904118271</v>
      </c>
      <c r="I334" s="507">
        <f t="shared" si="28"/>
        <v>57872.339904118271</v>
      </c>
      <c r="J334" s="507">
        <f t="shared" si="28"/>
        <v>61992.304854013892</v>
      </c>
      <c r="K334" s="507">
        <f t="shared" si="28"/>
        <v>66506.755054805399</v>
      </c>
      <c r="L334" s="507">
        <f t="shared" si="28"/>
        <v>73058.105304768571</v>
      </c>
      <c r="M334" s="507">
        <f t="shared" si="28"/>
        <v>67012.534907481138</v>
      </c>
      <c r="N334" s="507">
        <f t="shared" si="28"/>
        <v>57872.339904118271</v>
      </c>
      <c r="O334" s="507">
        <f t="shared" si="28"/>
        <v>63467.735749517524</v>
      </c>
      <c r="P334" s="507">
        <f t="shared" si="28"/>
        <v>72771.514045132193</v>
      </c>
      <c r="Q334" s="507">
        <f t="shared" si="28"/>
        <v>78029.205665391273</v>
      </c>
      <c r="R334" s="507">
        <f t="shared" si="28"/>
        <v>71393.774954584966</v>
      </c>
      <c r="S334" s="502"/>
      <c r="T334" s="530">
        <f>SUM(G334:R334)</f>
        <v>806615.84063475591</v>
      </c>
      <c r="U334" s="532" t="s">
        <v>194</v>
      </c>
      <c r="V334" s="18"/>
      <c r="W334" s="8"/>
      <c r="X334" s="222"/>
      <c r="Y334" s="222"/>
      <c r="Z334" s="355"/>
      <c r="AA334" s="355"/>
      <c r="AB334" s="355"/>
      <c r="AC334" s="355"/>
      <c r="AD334" s="355"/>
      <c r="AE334" s="355"/>
      <c r="AF334" s="355"/>
      <c r="AG334" s="355"/>
      <c r="AH334" s="355"/>
      <c r="AI334" s="355"/>
      <c r="AJ334" s="355"/>
      <c r="AK334" s="354"/>
      <c r="AL334" s="354"/>
      <c r="AM334" s="354"/>
      <c r="AN334" s="354"/>
    </row>
    <row r="335" spans="1:40" customFormat="1" x14ac:dyDescent="0.25">
      <c r="A335" s="8"/>
      <c r="B335" s="13"/>
      <c r="C335" s="500"/>
      <c r="D335" s="513"/>
      <c r="E335" s="514"/>
      <c r="F335" s="506" t="s">
        <v>189</v>
      </c>
      <c r="G335" s="508">
        <f>G324+G326+G328+G332+G330</f>
        <v>2625.5630128902012</v>
      </c>
      <c r="H335" s="508">
        <f t="shared" ref="H335:R335" si="29">H324+H326+H328+H332+H330</f>
        <v>1929.0779968039426</v>
      </c>
      <c r="I335" s="508">
        <f t="shared" si="29"/>
        <v>1929.0779968039426</v>
      </c>
      <c r="J335" s="508">
        <f t="shared" si="29"/>
        <v>2066.4101618004634</v>
      </c>
      <c r="K335" s="508">
        <f t="shared" si="29"/>
        <v>2216.8918351601801</v>
      </c>
      <c r="L335" s="508">
        <f t="shared" si="29"/>
        <v>2435.2701768256193</v>
      </c>
      <c r="M335" s="508">
        <f t="shared" si="29"/>
        <v>2233.751163582705</v>
      </c>
      <c r="N335" s="508">
        <f t="shared" si="29"/>
        <v>1929.0779968039426</v>
      </c>
      <c r="O335" s="508">
        <f t="shared" si="29"/>
        <v>2115.5911916505843</v>
      </c>
      <c r="P335" s="508">
        <f t="shared" si="29"/>
        <v>2425.7171348377406</v>
      </c>
      <c r="Q335" s="508">
        <f t="shared" si="29"/>
        <v>2600.9735221797091</v>
      </c>
      <c r="R335" s="508">
        <f t="shared" si="29"/>
        <v>2379.7924984861656</v>
      </c>
      <c r="S335" s="502"/>
      <c r="T335" s="531">
        <f>AVERAGE(G335:R335)</f>
        <v>2240.5995573187665</v>
      </c>
      <c r="U335" s="533" t="s">
        <v>195</v>
      </c>
      <c r="V335" s="18"/>
      <c r="W335" s="8"/>
      <c r="X335" s="222"/>
      <c r="Y335" s="222"/>
      <c r="Z335" s="355"/>
      <c r="AA335" s="355"/>
      <c r="AB335" s="355"/>
      <c r="AC335" s="355"/>
      <c r="AD335" s="355"/>
      <c r="AE335" s="355"/>
      <c r="AF335" s="355"/>
      <c r="AG335" s="355"/>
      <c r="AH335" s="355"/>
      <c r="AI335" s="355"/>
      <c r="AJ335" s="355"/>
      <c r="AK335" s="354"/>
      <c r="AL335" s="354"/>
      <c r="AM335" s="354"/>
      <c r="AN335" s="354"/>
    </row>
    <row r="336" spans="1:40" s="3" customFormat="1" x14ac:dyDescent="0.25">
      <c r="A336" s="40"/>
      <c r="B336" s="13"/>
      <c r="C336" s="313"/>
      <c r="D336" s="504"/>
      <c r="E336" s="505"/>
      <c r="F336" s="510"/>
      <c r="G336" s="511"/>
      <c r="H336" s="511"/>
      <c r="I336" s="511"/>
      <c r="J336" s="511"/>
      <c r="K336" s="511"/>
      <c r="L336" s="511"/>
      <c r="M336" s="511"/>
      <c r="N336" s="511"/>
      <c r="O336" s="511"/>
      <c r="P336" s="511"/>
      <c r="Q336" s="511"/>
      <c r="R336" s="511"/>
      <c r="S336" s="502"/>
      <c r="T336" s="511"/>
      <c r="U336" s="502"/>
      <c r="V336" s="18"/>
      <c r="W336" s="40"/>
      <c r="X336" s="222"/>
      <c r="Y336" s="222"/>
      <c r="Z336" s="355"/>
      <c r="AA336" s="355"/>
      <c r="AB336" s="355"/>
      <c r="AC336" s="355"/>
      <c r="AD336" s="355"/>
      <c r="AE336" s="355"/>
      <c r="AF336" s="355"/>
      <c r="AG336" s="355"/>
      <c r="AH336" s="355"/>
      <c r="AI336" s="355"/>
      <c r="AJ336" s="355"/>
      <c r="AK336" s="355"/>
      <c r="AL336" s="355"/>
      <c r="AM336" s="355"/>
      <c r="AN336" s="355"/>
    </row>
    <row r="337" spans="1:40" customFormat="1" ht="15" customHeight="1" x14ac:dyDescent="0.25">
      <c r="A337" s="8"/>
      <c r="B337" s="13"/>
      <c r="C337" s="498">
        <f>F26</f>
        <v>2033</v>
      </c>
      <c r="D337" s="967" t="str">
        <f>J293</f>
        <v>Basic domestic</v>
      </c>
      <c r="E337" s="968"/>
      <c r="F337" s="359" t="s">
        <v>188</v>
      </c>
      <c r="G337" s="380">
        <f t="shared" ref="G337:R337" si="30">G338*30</f>
        <v>31976.257853443414</v>
      </c>
      <c r="H337" s="380">
        <f t="shared" si="30"/>
        <v>31976.257853443414</v>
      </c>
      <c r="I337" s="380">
        <f t="shared" si="30"/>
        <v>31976.257853443414</v>
      </c>
      <c r="J337" s="380">
        <f t="shared" si="30"/>
        <v>31976.257853443414</v>
      </c>
      <c r="K337" s="380">
        <f t="shared" si="30"/>
        <v>31976.257853443414</v>
      </c>
      <c r="L337" s="380">
        <f t="shared" si="30"/>
        <v>31976.257853443414</v>
      </c>
      <c r="M337" s="380">
        <f t="shared" si="30"/>
        <v>31976.257853443414</v>
      </c>
      <c r="N337" s="380">
        <f t="shared" si="30"/>
        <v>31976.257853443414</v>
      </c>
      <c r="O337" s="380">
        <f t="shared" si="30"/>
        <v>31976.257853443414</v>
      </c>
      <c r="P337" s="380">
        <f t="shared" si="30"/>
        <v>31976.257853443414</v>
      </c>
      <c r="Q337" s="380">
        <f t="shared" si="30"/>
        <v>31976.257853443414</v>
      </c>
      <c r="R337" s="380">
        <f t="shared" si="30"/>
        <v>31976.257853443414</v>
      </c>
      <c r="S337" s="502"/>
      <c r="T337" s="537">
        <f>SUM(G337:R337)</f>
        <v>383715.09424132085</v>
      </c>
      <c r="U337" s="532" t="s">
        <v>194</v>
      </c>
      <c r="V337" s="18"/>
      <c r="W337" s="8"/>
      <c r="X337" s="222"/>
      <c r="Y337" s="222"/>
      <c r="Z337" s="355"/>
      <c r="AA337" s="355"/>
      <c r="AB337" s="355"/>
      <c r="AC337" s="355"/>
      <c r="AD337" s="355"/>
      <c r="AE337" s="355"/>
      <c r="AF337" s="355"/>
      <c r="AG337" s="355"/>
      <c r="AH337" s="355"/>
      <c r="AI337" s="355"/>
      <c r="AJ337" s="355"/>
      <c r="AK337" s="354"/>
      <c r="AL337" s="354"/>
      <c r="AM337" s="354"/>
      <c r="AN337" s="354"/>
    </row>
    <row r="338" spans="1:40" customFormat="1" x14ac:dyDescent="0.25">
      <c r="A338" s="8"/>
      <c r="B338" s="13"/>
      <c r="C338" s="499"/>
      <c r="D338" s="572"/>
      <c r="E338" s="313"/>
      <c r="F338" s="495" t="s">
        <v>189</v>
      </c>
      <c r="G338" s="501">
        <f>$J$301</f>
        <v>1065.8752617814471</v>
      </c>
      <c r="H338" s="501">
        <f t="shared" ref="H338:R338" si="31">$J$301</f>
        <v>1065.8752617814471</v>
      </c>
      <c r="I338" s="501">
        <f t="shared" si="31"/>
        <v>1065.8752617814471</v>
      </c>
      <c r="J338" s="501">
        <f t="shared" si="31"/>
        <v>1065.8752617814471</v>
      </c>
      <c r="K338" s="501">
        <f t="shared" si="31"/>
        <v>1065.8752617814471</v>
      </c>
      <c r="L338" s="501">
        <f t="shared" si="31"/>
        <v>1065.8752617814471</v>
      </c>
      <c r="M338" s="501">
        <f t="shared" si="31"/>
        <v>1065.8752617814471</v>
      </c>
      <c r="N338" s="501">
        <f t="shared" si="31"/>
        <v>1065.8752617814471</v>
      </c>
      <c r="O338" s="501">
        <f t="shared" si="31"/>
        <v>1065.8752617814471</v>
      </c>
      <c r="P338" s="501">
        <f t="shared" si="31"/>
        <v>1065.8752617814471</v>
      </c>
      <c r="Q338" s="501">
        <f t="shared" si="31"/>
        <v>1065.8752617814471</v>
      </c>
      <c r="R338" s="501">
        <f t="shared" si="31"/>
        <v>1065.8752617814471</v>
      </c>
      <c r="S338" s="502"/>
      <c r="T338" s="538">
        <f>AVERAGE(G338:R338)</f>
        <v>1065.8752617814469</v>
      </c>
      <c r="U338" s="535" t="s">
        <v>195</v>
      </c>
      <c r="V338" s="18"/>
      <c r="W338" s="8"/>
      <c r="X338" s="222"/>
      <c r="Y338" s="222"/>
      <c r="Z338" s="355"/>
      <c r="AA338" s="355"/>
      <c r="AB338" s="355"/>
      <c r="AC338" s="355"/>
      <c r="AD338" s="355"/>
      <c r="AE338" s="355"/>
      <c r="AF338" s="355"/>
      <c r="AG338" s="355"/>
      <c r="AH338" s="355"/>
      <c r="AI338" s="355"/>
      <c r="AJ338" s="355"/>
      <c r="AK338" s="354"/>
      <c r="AL338" s="354"/>
      <c r="AM338" s="354"/>
      <c r="AN338" s="354"/>
    </row>
    <row r="339" spans="1:40" customFormat="1" x14ac:dyDescent="0.25">
      <c r="A339" s="8"/>
      <c r="B339" s="13"/>
      <c r="C339" s="499"/>
      <c r="D339" s="967" t="str">
        <f>L293</f>
        <v>Livestock</v>
      </c>
      <c r="E339" s="968"/>
      <c r="F339" s="359" t="s">
        <v>188</v>
      </c>
      <c r="G339" s="380">
        <f t="shared" ref="G339:R339" si="32">G340*30</f>
        <v>45799.32765467155</v>
      </c>
      <c r="H339" s="380">
        <f t="shared" si="32"/>
        <v>45799.32765467155</v>
      </c>
      <c r="I339" s="380">
        <f t="shared" si="32"/>
        <v>45799.32765467155</v>
      </c>
      <c r="J339" s="380">
        <f t="shared" si="32"/>
        <v>45799.32765467155</v>
      </c>
      <c r="K339" s="380">
        <f t="shared" si="32"/>
        <v>45799.32765467155</v>
      </c>
      <c r="L339" s="380">
        <f t="shared" si="32"/>
        <v>45799.32765467155</v>
      </c>
      <c r="M339" s="380">
        <f t="shared" si="32"/>
        <v>45799.32765467155</v>
      </c>
      <c r="N339" s="380">
        <f t="shared" si="32"/>
        <v>45799.32765467155</v>
      </c>
      <c r="O339" s="380">
        <f t="shared" si="32"/>
        <v>45799.32765467155</v>
      </c>
      <c r="P339" s="380">
        <f t="shared" si="32"/>
        <v>45799.32765467155</v>
      </c>
      <c r="Q339" s="380">
        <f t="shared" si="32"/>
        <v>45799.32765467155</v>
      </c>
      <c r="R339" s="380">
        <f t="shared" si="32"/>
        <v>45799.32765467155</v>
      </c>
      <c r="S339" s="502"/>
      <c r="T339" s="537">
        <f>SUM(G339:R339)</f>
        <v>549591.93185605865</v>
      </c>
      <c r="U339" s="532" t="s">
        <v>194</v>
      </c>
      <c r="V339" s="18"/>
      <c r="W339" s="8"/>
      <c r="X339" s="222"/>
      <c r="Y339" s="222"/>
      <c r="Z339" s="355"/>
      <c r="AA339" s="355"/>
      <c r="AB339" s="355"/>
      <c r="AC339" s="355"/>
      <c r="AD339" s="355"/>
      <c r="AE339" s="355"/>
      <c r="AF339" s="355"/>
      <c r="AG339" s="355"/>
      <c r="AH339" s="355"/>
      <c r="AI339" s="355"/>
      <c r="AJ339" s="355"/>
      <c r="AK339" s="354"/>
      <c r="AL339" s="354"/>
      <c r="AM339" s="354"/>
      <c r="AN339" s="354"/>
    </row>
    <row r="340" spans="1:40" customFormat="1" ht="15" customHeight="1" x14ac:dyDescent="0.25">
      <c r="A340" s="8"/>
      <c r="B340" s="13"/>
      <c r="C340" s="499"/>
      <c r="D340" s="1142" t="str">
        <f>L295</f>
        <v>FEWSNET estimates</v>
      </c>
      <c r="E340" s="1004"/>
      <c r="F340" s="495" t="s">
        <v>189</v>
      </c>
      <c r="G340" s="501">
        <f>$L$301</f>
        <v>1526.6442551557184</v>
      </c>
      <c r="H340" s="501">
        <f t="shared" ref="H340:R340" si="33">$L$301</f>
        <v>1526.6442551557184</v>
      </c>
      <c r="I340" s="501">
        <f t="shared" si="33"/>
        <v>1526.6442551557184</v>
      </c>
      <c r="J340" s="501">
        <f t="shared" si="33"/>
        <v>1526.6442551557184</v>
      </c>
      <c r="K340" s="501">
        <f t="shared" si="33"/>
        <v>1526.6442551557184</v>
      </c>
      <c r="L340" s="501">
        <f t="shared" si="33"/>
        <v>1526.6442551557184</v>
      </c>
      <c r="M340" s="501">
        <f t="shared" si="33"/>
        <v>1526.6442551557184</v>
      </c>
      <c r="N340" s="501">
        <f t="shared" si="33"/>
        <v>1526.6442551557184</v>
      </c>
      <c r="O340" s="501">
        <f t="shared" si="33"/>
        <v>1526.6442551557184</v>
      </c>
      <c r="P340" s="501">
        <f t="shared" si="33"/>
        <v>1526.6442551557184</v>
      </c>
      <c r="Q340" s="501">
        <f t="shared" si="33"/>
        <v>1526.6442551557184</v>
      </c>
      <c r="R340" s="501">
        <f t="shared" si="33"/>
        <v>1526.6442551557184</v>
      </c>
      <c r="S340" s="502"/>
      <c r="T340" s="538">
        <f>AVERAGE(G340:R340)</f>
        <v>1526.6442551557186</v>
      </c>
      <c r="U340" s="535" t="s">
        <v>195</v>
      </c>
      <c r="V340" s="18"/>
      <c r="W340" s="8"/>
      <c r="X340" s="222"/>
      <c r="Y340" s="222"/>
      <c r="Z340" s="355"/>
      <c r="AA340" s="355"/>
      <c r="AB340" s="355"/>
      <c r="AC340" s="355"/>
      <c r="AD340" s="355"/>
      <c r="AE340" s="355"/>
      <c r="AF340" s="355"/>
      <c r="AG340" s="355"/>
      <c r="AH340" s="355"/>
      <c r="AI340" s="355"/>
      <c r="AJ340" s="355"/>
      <c r="AK340" s="354"/>
      <c r="AL340" s="354"/>
      <c r="AM340" s="354"/>
      <c r="AN340" s="354"/>
    </row>
    <row r="341" spans="1:40" customFormat="1" ht="15" customHeight="1" x14ac:dyDescent="0.25">
      <c r="A341" s="8"/>
      <c r="B341" s="13"/>
      <c r="C341" s="499"/>
      <c r="D341" s="967" t="str">
        <f>N293</f>
        <v>Agriculture</v>
      </c>
      <c r="E341" s="968"/>
      <c r="F341" s="359" t="s">
        <v>188</v>
      </c>
      <c r="G341" s="380">
        <f t="shared" ref="G341:R342" si="34">I196</f>
        <v>20560.784507036198</v>
      </c>
      <c r="H341" s="380">
        <f t="shared" si="34"/>
        <v>0</v>
      </c>
      <c r="I341" s="380">
        <f t="shared" si="34"/>
        <v>0</v>
      </c>
      <c r="J341" s="380">
        <f t="shared" si="34"/>
        <v>5536.8883784884065</v>
      </c>
      <c r="K341" s="380">
        <f t="shared" si="34"/>
        <v>11603.931947065468</v>
      </c>
      <c r="L341" s="380">
        <f t="shared" si="34"/>
        <v>20408.398854811196</v>
      </c>
      <c r="M341" s="380">
        <f t="shared" si="34"/>
        <v>12283.657775418655</v>
      </c>
      <c r="N341" s="380">
        <f t="shared" si="34"/>
        <v>0</v>
      </c>
      <c r="O341" s="380">
        <f t="shared" si="34"/>
        <v>0</v>
      </c>
      <c r="P341" s="380">
        <f t="shared" si="34"/>
        <v>7991.6535659352348</v>
      </c>
      <c r="Q341" s="380">
        <f t="shared" si="34"/>
        <v>12049.653801723296</v>
      </c>
      <c r="R341" s="380">
        <f t="shared" si="34"/>
        <v>6140.0874356861423</v>
      </c>
      <c r="S341" s="502"/>
      <c r="T341" s="537">
        <f>SUM(G341:R341)</f>
        <v>96575.056266164596</v>
      </c>
      <c r="U341" s="532" t="s">
        <v>194</v>
      </c>
      <c r="V341" s="18"/>
      <c r="W341" s="8"/>
      <c r="X341" s="222"/>
      <c r="Y341" s="222"/>
      <c r="Z341" s="355"/>
      <c r="AA341" s="355"/>
      <c r="AB341" s="355"/>
      <c r="AC341" s="355"/>
      <c r="AD341" s="355"/>
      <c r="AE341" s="355"/>
      <c r="AF341" s="355"/>
      <c r="AG341" s="355"/>
      <c r="AH341" s="355"/>
      <c r="AI341" s="355"/>
      <c r="AJ341" s="355"/>
      <c r="AK341" s="354"/>
      <c r="AL341" s="354"/>
      <c r="AM341" s="354"/>
      <c r="AN341" s="354"/>
    </row>
    <row r="342" spans="1:40" customFormat="1" x14ac:dyDescent="0.25">
      <c r="A342" s="8"/>
      <c r="B342" s="13"/>
      <c r="C342" s="499"/>
      <c r="D342" s="572"/>
      <c r="E342" s="313"/>
      <c r="F342" s="495" t="s">
        <v>189</v>
      </c>
      <c r="G342" s="501">
        <f t="shared" si="34"/>
        <v>685.35948356787333</v>
      </c>
      <c r="H342" s="501">
        <f t="shared" si="34"/>
        <v>0</v>
      </c>
      <c r="I342" s="501">
        <f t="shared" si="34"/>
        <v>0</v>
      </c>
      <c r="J342" s="501">
        <f t="shared" si="34"/>
        <v>184.56294594961355</v>
      </c>
      <c r="K342" s="501">
        <f t="shared" si="34"/>
        <v>386.79773156884892</v>
      </c>
      <c r="L342" s="501">
        <f t="shared" si="34"/>
        <v>680.27996182703987</v>
      </c>
      <c r="M342" s="501">
        <f t="shared" si="34"/>
        <v>409.45525918062179</v>
      </c>
      <c r="N342" s="501">
        <f t="shared" si="34"/>
        <v>0</v>
      </c>
      <c r="O342" s="501">
        <f t="shared" si="34"/>
        <v>0</v>
      </c>
      <c r="P342" s="501">
        <f t="shared" si="34"/>
        <v>266.38845219784116</v>
      </c>
      <c r="Q342" s="501">
        <f t="shared" si="34"/>
        <v>401.65512672410989</v>
      </c>
      <c r="R342" s="501">
        <f t="shared" si="34"/>
        <v>204.66958118953806</v>
      </c>
      <c r="S342" s="502"/>
      <c r="T342" s="388">
        <f>AVERAGE(G342:R342)</f>
        <v>268.26404518379053</v>
      </c>
      <c r="U342" s="533" t="s">
        <v>195</v>
      </c>
      <c r="V342" s="18"/>
      <c r="W342" s="8"/>
      <c r="X342" s="222"/>
      <c r="Y342" s="222"/>
      <c r="Z342" s="355"/>
      <c r="AA342" s="355"/>
      <c r="AB342" s="355"/>
      <c r="AC342" s="355"/>
      <c r="AD342" s="355"/>
      <c r="AE342" s="355"/>
      <c r="AF342" s="355"/>
      <c r="AG342" s="355"/>
      <c r="AH342" s="355"/>
      <c r="AI342" s="355"/>
      <c r="AJ342" s="355"/>
      <c r="AK342" s="354"/>
      <c r="AL342" s="354"/>
      <c r="AM342" s="354"/>
      <c r="AN342" s="354"/>
    </row>
    <row r="343" spans="1:40" customFormat="1" x14ac:dyDescent="0.25">
      <c r="A343" s="8"/>
      <c r="B343" s="13"/>
      <c r="C343" s="499"/>
      <c r="D343" s="967" t="str">
        <f>P293</f>
        <v>Seasonal livestock</v>
      </c>
      <c r="E343" s="968"/>
      <c r="F343" s="359" t="s">
        <v>188</v>
      </c>
      <c r="G343" s="494">
        <f>I251</f>
        <v>7519.7441255461017</v>
      </c>
      <c r="H343" s="494">
        <f t="shared" ref="H343:R343" si="35">J251</f>
        <v>0</v>
      </c>
      <c r="I343" s="494">
        <f t="shared" si="35"/>
        <v>0</v>
      </c>
      <c r="J343" s="494">
        <f t="shared" si="35"/>
        <v>0</v>
      </c>
      <c r="K343" s="494">
        <f t="shared" si="35"/>
        <v>0</v>
      </c>
      <c r="L343" s="494">
        <f t="shared" si="35"/>
        <v>0</v>
      </c>
      <c r="M343" s="494">
        <f t="shared" si="35"/>
        <v>0</v>
      </c>
      <c r="N343" s="494">
        <f t="shared" si="35"/>
        <v>0</v>
      </c>
      <c r="O343" s="494">
        <f t="shared" si="35"/>
        <v>7519.7441255461017</v>
      </c>
      <c r="P343" s="494">
        <f t="shared" si="35"/>
        <v>12031.590600873764</v>
      </c>
      <c r="Q343" s="494">
        <f t="shared" si="35"/>
        <v>15039.488251092203</v>
      </c>
      <c r="R343" s="494">
        <f t="shared" si="35"/>
        <v>12031.590600873764</v>
      </c>
      <c r="S343" s="502"/>
      <c r="T343" s="538">
        <f>SUM(G343:R343)</f>
        <v>54142.157703931938</v>
      </c>
      <c r="U343" s="535" t="s">
        <v>194</v>
      </c>
      <c r="V343" s="18"/>
      <c r="W343" s="8"/>
      <c r="X343" s="574"/>
      <c r="Y343" s="574"/>
      <c r="Z343" s="355"/>
      <c r="AA343" s="355"/>
      <c r="AB343" s="355"/>
      <c r="AC343" s="355"/>
      <c r="AD343" s="355"/>
      <c r="AE343" s="355"/>
      <c r="AF343" s="355"/>
      <c r="AG343" s="355"/>
      <c r="AH343" s="355"/>
      <c r="AI343" s="355"/>
      <c r="AJ343" s="355"/>
      <c r="AK343" s="354"/>
      <c r="AL343" s="354"/>
      <c r="AM343" s="354"/>
      <c r="AN343" s="354"/>
    </row>
    <row r="344" spans="1:40" customFormat="1" x14ac:dyDescent="0.25">
      <c r="A344" s="8"/>
      <c r="B344" s="13"/>
      <c r="C344" s="499"/>
      <c r="D344" s="496"/>
      <c r="E344" s="571"/>
      <c r="F344" s="360" t="s">
        <v>189</v>
      </c>
      <c r="G344" s="381">
        <f>I252</f>
        <v>250.6581375182034</v>
      </c>
      <c r="H344" s="381">
        <f t="shared" ref="H344:R344" si="36">J252</f>
        <v>0</v>
      </c>
      <c r="I344" s="381">
        <f t="shared" si="36"/>
        <v>0</v>
      </c>
      <c r="J344" s="381">
        <f t="shared" si="36"/>
        <v>0</v>
      </c>
      <c r="K344" s="381">
        <f t="shared" si="36"/>
        <v>0</v>
      </c>
      <c r="L344" s="381">
        <f t="shared" si="36"/>
        <v>0</v>
      </c>
      <c r="M344" s="381">
        <f t="shared" si="36"/>
        <v>0</v>
      </c>
      <c r="N344" s="381">
        <f t="shared" si="36"/>
        <v>0</v>
      </c>
      <c r="O344" s="381">
        <f t="shared" si="36"/>
        <v>250.6581375182034</v>
      </c>
      <c r="P344" s="381">
        <f t="shared" si="36"/>
        <v>401.05302002912543</v>
      </c>
      <c r="Q344" s="381">
        <f t="shared" si="36"/>
        <v>501.31627503640681</v>
      </c>
      <c r="R344" s="381">
        <f t="shared" si="36"/>
        <v>401.05302002912543</v>
      </c>
      <c r="S344" s="502"/>
      <c r="T344" s="388">
        <f>AVERAGE(G344:R344)</f>
        <v>150.39488251092203</v>
      </c>
      <c r="U344" s="533" t="s">
        <v>195</v>
      </c>
      <c r="V344" s="18"/>
      <c r="W344" s="8"/>
      <c r="X344" s="574"/>
      <c r="Y344" s="574"/>
      <c r="Z344" s="355"/>
      <c r="AA344" s="355"/>
      <c r="AB344" s="355"/>
      <c r="AC344" s="355"/>
      <c r="AD344" s="355"/>
      <c r="AE344" s="355"/>
      <c r="AF344" s="355"/>
      <c r="AG344" s="355"/>
      <c r="AH344" s="355"/>
      <c r="AI344" s="355"/>
      <c r="AJ344" s="355"/>
      <c r="AK344" s="354"/>
      <c r="AL344" s="354"/>
      <c r="AM344" s="354"/>
      <c r="AN344" s="354"/>
    </row>
    <row r="345" spans="1:40" customFormat="1" ht="15" customHeight="1" x14ac:dyDescent="0.25">
      <c r="A345" s="8"/>
      <c r="B345" s="13"/>
      <c r="C345" s="499"/>
      <c r="D345" s="967" t="str">
        <f>R293</f>
        <v>Wildlife</v>
      </c>
      <c r="E345" s="968"/>
      <c r="F345" s="359" t="s">
        <v>188</v>
      </c>
      <c r="G345" s="494">
        <f>G346*30</f>
        <v>0</v>
      </c>
      <c r="H345" s="494">
        <f t="shared" ref="H345:R345" si="37">H346*30</f>
        <v>0</v>
      </c>
      <c r="I345" s="494">
        <f t="shared" si="37"/>
        <v>0</v>
      </c>
      <c r="J345" s="494">
        <f t="shared" si="37"/>
        <v>0</v>
      </c>
      <c r="K345" s="494">
        <f t="shared" si="37"/>
        <v>0</v>
      </c>
      <c r="L345" s="494">
        <f t="shared" si="37"/>
        <v>0</v>
      </c>
      <c r="M345" s="494">
        <f t="shared" si="37"/>
        <v>0</v>
      </c>
      <c r="N345" s="494">
        <f t="shared" si="37"/>
        <v>0</v>
      </c>
      <c r="O345" s="494">
        <f t="shared" si="37"/>
        <v>0</v>
      </c>
      <c r="P345" s="494">
        <f t="shared" si="37"/>
        <v>0</v>
      </c>
      <c r="Q345" s="494">
        <f t="shared" si="37"/>
        <v>0</v>
      </c>
      <c r="R345" s="494">
        <f t="shared" si="37"/>
        <v>0</v>
      </c>
      <c r="S345" s="502"/>
      <c r="T345" s="538">
        <f>SUM(G345:R345)</f>
        <v>0</v>
      </c>
      <c r="U345" s="535" t="s">
        <v>194</v>
      </c>
      <c r="V345" s="18"/>
      <c r="W345" s="8"/>
      <c r="X345" s="222"/>
      <c r="Y345" s="222"/>
      <c r="Z345" s="355"/>
      <c r="AA345" s="355"/>
      <c r="AB345" s="355"/>
      <c r="AC345" s="355"/>
      <c r="AD345" s="355"/>
      <c r="AE345" s="355"/>
      <c r="AF345" s="355"/>
      <c r="AG345" s="355"/>
      <c r="AH345" s="355"/>
      <c r="AI345" s="355"/>
      <c r="AJ345" s="355"/>
      <c r="AK345" s="354"/>
      <c r="AL345" s="354"/>
      <c r="AM345" s="354"/>
      <c r="AN345" s="354"/>
    </row>
    <row r="346" spans="1:40" customFormat="1" x14ac:dyDescent="0.25">
      <c r="A346" s="8"/>
      <c r="B346" s="13"/>
      <c r="C346" s="500"/>
      <c r="D346" s="496"/>
      <c r="E346" s="571"/>
      <c r="F346" s="360" t="s">
        <v>189</v>
      </c>
      <c r="G346" s="381">
        <f>$R$301</f>
        <v>0</v>
      </c>
      <c r="H346" s="381">
        <f t="shared" ref="H346:R346" si="38">$R$301</f>
        <v>0</v>
      </c>
      <c r="I346" s="381">
        <f t="shared" si="38"/>
        <v>0</v>
      </c>
      <c r="J346" s="381">
        <f t="shared" si="38"/>
        <v>0</v>
      </c>
      <c r="K346" s="381">
        <f t="shared" si="38"/>
        <v>0</v>
      </c>
      <c r="L346" s="381">
        <f t="shared" si="38"/>
        <v>0</v>
      </c>
      <c r="M346" s="381">
        <f t="shared" si="38"/>
        <v>0</v>
      </c>
      <c r="N346" s="381">
        <f t="shared" si="38"/>
        <v>0</v>
      </c>
      <c r="O346" s="381">
        <f t="shared" si="38"/>
        <v>0</v>
      </c>
      <c r="P346" s="381">
        <f t="shared" si="38"/>
        <v>0</v>
      </c>
      <c r="Q346" s="381">
        <f t="shared" si="38"/>
        <v>0</v>
      </c>
      <c r="R346" s="381">
        <f t="shared" si="38"/>
        <v>0</v>
      </c>
      <c r="S346" s="502"/>
      <c r="T346" s="388">
        <f>AVERAGE(G346:R346)</f>
        <v>0</v>
      </c>
      <c r="U346" s="533" t="s">
        <v>195</v>
      </c>
      <c r="V346" s="18"/>
      <c r="W346" s="8"/>
      <c r="X346" s="222"/>
      <c r="Y346" s="222"/>
      <c r="Z346" s="355"/>
      <c r="AA346" s="355"/>
      <c r="AB346" s="355"/>
      <c r="AC346" s="355"/>
      <c r="AD346" s="355"/>
      <c r="AE346" s="355"/>
      <c r="AF346" s="355"/>
      <c r="AG346" s="355"/>
      <c r="AH346" s="355"/>
      <c r="AI346" s="355"/>
      <c r="AJ346" s="355"/>
      <c r="AK346" s="354"/>
      <c r="AL346" s="354"/>
      <c r="AM346" s="354"/>
      <c r="AN346" s="354"/>
    </row>
    <row r="347" spans="1:40" customFormat="1" x14ac:dyDescent="0.25">
      <c r="A347" s="8"/>
      <c r="B347" s="13"/>
      <c r="C347" s="313"/>
      <c r="D347" s="572"/>
      <c r="E347" s="237"/>
      <c r="F347" s="213"/>
      <c r="G347" s="509"/>
      <c r="H347" s="509"/>
      <c r="I347" s="509"/>
      <c r="J347" s="509"/>
      <c r="K347" s="509"/>
      <c r="L347" s="509"/>
      <c r="M347" s="509"/>
      <c r="N347" s="509"/>
      <c r="O347" s="509"/>
      <c r="P347" s="509"/>
      <c r="Q347" s="509"/>
      <c r="R347" s="509"/>
      <c r="S347" s="502"/>
      <c r="T347" s="509"/>
      <c r="U347" s="502"/>
      <c r="V347" s="18"/>
      <c r="W347" s="8"/>
      <c r="X347" s="222"/>
      <c r="Y347" s="222"/>
      <c r="Z347" s="355"/>
      <c r="AA347" s="355"/>
      <c r="AB347" s="355"/>
      <c r="AC347" s="355"/>
      <c r="AD347" s="355"/>
      <c r="AE347" s="355"/>
      <c r="AF347" s="355"/>
      <c r="AG347" s="355"/>
      <c r="AH347" s="355"/>
      <c r="AI347" s="355"/>
      <c r="AJ347" s="355"/>
      <c r="AK347" s="354"/>
      <c r="AL347" s="354"/>
      <c r="AM347" s="354"/>
      <c r="AN347" s="354"/>
    </row>
    <row r="348" spans="1:40" customFormat="1" x14ac:dyDescent="0.25">
      <c r="A348" s="8"/>
      <c r="B348" s="13"/>
      <c r="C348" s="498">
        <f>F26</f>
        <v>2033</v>
      </c>
      <c r="D348" s="1007" t="s">
        <v>25</v>
      </c>
      <c r="E348" s="1008"/>
      <c r="F348" s="503" t="s">
        <v>188</v>
      </c>
      <c r="G348" s="507">
        <f>G337+G339+G341+G345+G343</f>
        <v>105856.11414069726</v>
      </c>
      <c r="H348" s="507">
        <f t="shared" ref="H348:R348" si="39">H337+H339+H341+H345+H343</f>
        <v>77775.585508114964</v>
      </c>
      <c r="I348" s="507">
        <f t="shared" si="39"/>
        <v>77775.585508114964</v>
      </c>
      <c r="J348" s="507">
        <f t="shared" si="39"/>
        <v>83312.473886603373</v>
      </c>
      <c r="K348" s="507">
        <f t="shared" si="39"/>
        <v>89379.517455180438</v>
      </c>
      <c r="L348" s="507">
        <f t="shared" si="39"/>
        <v>98183.98436292616</v>
      </c>
      <c r="M348" s="507">
        <f t="shared" si="39"/>
        <v>90059.243283533622</v>
      </c>
      <c r="N348" s="507">
        <f t="shared" si="39"/>
        <v>77775.585508114964</v>
      </c>
      <c r="O348" s="507">
        <f t="shared" si="39"/>
        <v>85295.329633661066</v>
      </c>
      <c r="P348" s="507">
        <f t="shared" si="39"/>
        <v>97798.829674923967</v>
      </c>
      <c r="Q348" s="507">
        <f t="shared" si="39"/>
        <v>104864.72756093046</v>
      </c>
      <c r="R348" s="507">
        <f t="shared" si="39"/>
        <v>95947.263544674875</v>
      </c>
      <c r="S348" s="502"/>
      <c r="T348" s="530">
        <f>SUM(G348:R348)</f>
        <v>1084024.2400674762</v>
      </c>
      <c r="U348" s="532" t="s">
        <v>194</v>
      </c>
      <c r="V348" s="18"/>
      <c r="W348" s="8"/>
      <c r="X348" s="222"/>
      <c r="Y348" s="222"/>
      <c r="Z348" s="355"/>
      <c r="AA348" s="355"/>
      <c r="AB348" s="355"/>
      <c r="AC348" s="355"/>
      <c r="AD348" s="355"/>
      <c r="AE348" s="355"/>
      <c r="AF348" s="355"/>
      <c r="AG348" s="355"/>
      <c r="AH348" s="355"/>
      <c r="AI348" s="355"/>
      <c r="AJ348" s="355"/>
      <c r="AK348" s="354"/>
      <c r="AL348" s="354"/>
      <c r="AM348" s="354"/>
      <c r="AN348" s="354"/>
    </row>
    <row r="349" spans="1:40" customFormat="1" x14ac:dyDescent="0.25">
      <c r="A349" s="8"/>
      <c r="B349" s="13"/>
      <c r="C349" s="500"/>
      <c r="D349" s="513"/>
      <c r="E349" s="514"/>
      <c r="F349" s="506" t="s">
        <v>189</v>
      </c>
      <c r="G349" s="508">
        <f>G338+G340+G342+G346+G344</f>
        <v>3528.5371380232423</v>
      </c>
      <c r="H349" s="508">
        <f t="shared" ref="H349:R349" si="40">H338+H340+H342+H346+H344</f>
        <v>2592.5195169371655</v>
      </c>
      <c r="I349" s="508">
        <f t="shared" si="40"/>
        <v>2592.5195169371655</v>
      </c>
      <c r="J349" s="508">
        <f t="shared" si="40"/>
        <v>2777.082462886779</v>
      </c>
      <c r="K349" s="508">
        <f t="shared" si="40"/>
        <v>2979.3172485060145</v>
      </c>
      <c r="L349" s="508">
        <f t="shared" si="40"/>
        <v>3272.7994787642056</v>
      </c>
      <c r="M349" s="508">
        <f t="shared" si="40"/>
        <v>3001.9747761177873</v>
      </c>
      <c r="N349" s="508">
        <f t="shared" si="40"/>
        <v>2592.5195169371655</v>
      </c>
      <c r="O349" s="508">
        <f t="shared" si="40"/>
        <v>2843.1776544553691</v>
      </c>
      <c r="P349" s="508">
        <f t="shared" si="40"/>
        <v>3259.9609891641321</v>
      </c>
      <c r="Q349" s="508">
        <f t="shared" si="40"/>
        <v>3495.490918697682</v>
      </c>
      <c r="R349" s="508">
        <f t="shared" si="40"/>
        <v>3198.2421181558288</v>
      </c>
      <c r="S349" s="502"/>
      <c r="T349" s="531">
        <f>AVERAGE(G349:R349)</f>
        <v>3011.1784446318779</v>
      </c>
      <c r="U349" s="533" t="s">
        <v>195</v>
      </c>
      <c r="V349" s="18"/>
      <c r="W349" s="8"/>
      <c r="X349" s="222"/>
      <c r="Y349" s="222"/>
      <c r="Z349" s="355"/>
      <c r="AA349" s="355"/>
      <c r="AB349" s="355"/>
      <c r="AC349" s="355"/>
      <c r="AD349" s="355"/>
      <c r="AE349" s="355"/>
      <c r="AF349" s="355"/>
      <c r="AG349" s="355"/>
      <c r="AH349" s="355"/>
      <c r="AI349" s="355"/>
      <c r="AJ349" s="355"/>
      <c r="AK349" s="354"/>
      <c r="AL349" s="354"/>
      <c r="AM349" s="354"/>
      <c r="AN349" s="354"/>
    </row>
    <row r="350" spans="1:40" s="40" customFormat="1" x14ac:dyDescent="0.25">
      <c r="A350" s="219"/>
      <c r="B350" s="587"/>
      <c r="C350" s="32"/>
      <c r="D350" s="1006"/>
      <c r="E350" s="1006"/>
      <c r="F350" s="32"/>
      <c r="G350" s="32"/>
      <c r="H350" s="83"/>
      <c r="I350" s="578"/>
      <c r="J350" s="579"/>
      <c r="K350" s="86"/>
      <c r="L350" s="87"/>
      <c r="M350" s="32"/>
      <c r="N350" s="32"/>
      <c r="O350" s="32"/>
      <c r="P350" s="32"/>
      <c r="Q350" s="32"/>
      <c r="R350" s="32"/>
      <c r="S350" s="32"/>
      <c r="T350" s="32"/>
      <c r="U350" s="32"/>
      <c r="V350" s="37"/>
    </row>
    <row r="351" spans="1:40" s="40" customFormat="1" x14ac:dyDescent="0.25">
      <c r="A351" s="219"/>
      <c r="B351" s="219"/>
      <c r="D351" s="588"/>
      <c r="E351" s="574"/>
      <c r="H351" s="88"/>
      <c r="I351" s="89"/>
      <c r="J351" s="90"/>
      <c r="K351" s="91"/>
      <c r="L351" s="573"/>
    </row>
    <row r="352" spans="1:40" x14ac:dyDescent="0.25">
      <c r="B352" s="40"/>
      <c r="C352" s="40"/>
      <c r="D352" s="9"/>
      <c r="E352" s="10"/>
      <c r="F352" s="10"/>
      <c r="G352" s="10"/>
      <c r="H352" s="214"/>
      <c r="I352" s="576"/>
      <c r="J352" s="215"/>
      <c r="K352" s="216"/>
      <c r="L352" s="217"/>
      <c r="M352" s="10"/>
      <c r="N352" s="10"/>
      <c r="O352" s="10"/>
      <c r="P352" s="10"/>
      <c r="Q352" s="10"/>
      <c r="R352" s="10"/>
      <c r="S352" s="10"/>
      <c r="T352" s="10"/>
      <c r="U352" s="10"/>
      <c r="V352" s="12"/>
    </row>
    <row r="353" spans="1:40" ht="15" customHeight="1" x14ac:dyDescent="0.25">
      <c r="A353" s="38"/>
      <c r="B353" s="219"/>
      <c r="C353" s="40"/>
      <c r="D353" s="13"/>
      <c r="E353" s="14"/>
      <c r="F353" s="356"/>
      <c r="G353" s="979" t="s">
        <v>248</v>
      </c>
      <c r="H353" s="980"/>
      <c r="I353" s="980"/>
      <c r="J353" s="980"/>
      <c r="K353" s="980"/>
      <c r="L353" s="980"/>
      <c r="M353" s="980"/>
      <c r="N353" s="980"/>
      <c r="O353" s="980"/>
      <c r="P353" s="980"/>
      <c r="Q353" s="980"/>
      <c r="R353" s="981"/>
      <c r="S353" s="14"/>
      <c r="T353" s="982"/>
      <c r="U353" s="918"/>
      <c r="V353" s="18"/>
    </row>
    <row r="354" spans="1:40" s="234" customFormat="1" ht="15" customHeight="1" x14ac:dyDescent="0.25">
      <c r="A354" s="354"/>
      <c r="B354" s="355"/>
      <c r="C354" s="355"/>
      <c r="D354" s="441"/>
      <c r="E354" s="14"/>
      <c r="F354" s="41"/>
      <c r="G354" s="384" t="s">
        <v>92</v>
      </c>
      <c r="H354" s="384" t="s">
        <v>93</v>
      </c>
      <c r="I354" s="384" t="s">
        <v>94</v>
      </c>
      <c r="J354" s="384" t="s">
        <v>95</v>
      </c>
      <c r="K354" s="384" t="s">
        <v>96</v>
      </c>
      <c r="L354" s="384" t="s">
        <v>97</v>
      </c>
      <c r="M354" s="384" t="s">
        <v>98</v>
      </c>
      <c r="N354" s="384" t="s">
        <v>99</v>
      </c>
      <c r="O354" s="384" t="s">
        <v>100</v>
      </c>
      <c r="P354" s="384" t="s">
        <v>101</v>
      </c>
      <c r="Q354" s="384" t="s">
        <v>102</v>
      </c>
      <c r="R354" s="384" t="s">
        <v>103</v>
      </c>
      <c r="S354" s="502"/>
      <c r="T354" s="915" t="s">
        <v>25</v>
      </c>
      <c r="U354" s="918"/>
      <c r="V354" s="586"/>
      <c r="W354" s="354"/>
      <c r="X354" s="355"/>
      <c r="Y354" s="574"/>
      <c r="Z354" s="355"/>
      <c r="AA354" s="355"/>
      <c r="AB354" s="355"/>
      <c r="AC354" s="355"/>
      <c r="AD354" s="355"/>
      <c r="AE354" s="355"/>
      <c r="AF354" s="355"/>
      <c r="AG354" s="355"/>
      <c r="AH354" s="355"/>
      <c r="AI354" s="355"/>
      <c r="AJ354" s="355"/>
      <c r="AK354" s="354"/>
      <c r="AL354" s="354"/>
      <c r="AM354" s="354"/>
      <c r="AN354" s="354"/>
    </row>
    <row r="355" spans="1:40" s="234" customFormat="1" ht="15" customHeight="1" x14ac:dyDescent="0.25">
      <c r="A355" s="354"/>
      <c r="B355" s="355"/>
      <c r="C355" s="355"/>
      <c r="D355" s="441"/>
      <c r="E355" s="14"/>
      <c r="F355" s="41"/>
      <c r="G355" s="609"/>
      <c r="H355" s="609"/>
      <c r="I355" s="609"/>
      <c r="J355" s="609"/>
      <c r="K355" s="609"/>
      <c r="L355" s="609"/>
      <c r="M355" s="609"/>
      <c r="N355" s="609"/>
      <c r="O355" s="609"/>
      <c r="P355" s="609"/>
      <c r="Q355" s="609"/>
      <c r="R355" s="609"/>
      <c r="S355" s="502"/>
      <c r="T355" s="610"/>
      <c r="U355" s="569"/>
      <c r="V355" s="586"/>
      <c r="W355" s="354"/>
      <c r="X355" s="355"/>
      <c r="Y355" s="574"/>
      <c r="Z355" s="355"/>
      <c r="AA355" s="355"/>
      <c r="AB355" s="355"/>
      <c r="AC355" s="355"/>
      <c r="AD355" s="355"/>
      <c r="AE355" s="355"/>
      <c r="AF355" s="355"/>
      <c r="AG355" s="355"/>
      <c r="AH355" s="355"/>
      <c r="AI355" s="355"/>
      <c r="AJ355" s="355"/>
      <c r="AK355" s="354"/>
      <c r="AL355" s="354"/>
      <c r="AM355" s="354"/>
      <c r="AN355" s="354"/>
    </row>
    <row r="356" spans="1:40" s="234" customFormat="1" x14ac:dyDescent="0.25">
      <c r="A356" s="354"/>
      <c r="B356" s="355"/>
      <c r="C356" s="600"/>
      <c r="D356" s="601"/>
      <c r="E356" s="597">
        <f>H297</f>
        <v>2013</v>
      </c>
      <c r="F356" s="359" t="s">
        <v>188</v>
      </c>
      <c r="G356" s="589">
        <f>G320</f>
        <v>58609.963832085326</v>
      </c>
      <c r="H356" s="589">
        <f t="shared" ref="H356:R356" si="41">H320</f>
        <v>43062.455963489352</v>
      </c>
      <c r="I356" s="589">
        <f t="shared" si="41"/>
        <v>43062.455963489352</v>
      </c>
      <c r="J356" s="589">
        <f t="shared" si="41"/>
        <v>46128.096812294476</v>
      </c>
      <c r="K356" s="589">
        <f t="shared" si="41"/>
        <v>49487.271735807735</v>
      </c>
      <c r="L356" s="589">
        <f t="shared" si="41"/>
        <v>54362.091591162476</v>
      </c>
      <c r="M356" s="589">
        <f t="shared" si="41"/>
        <v>49863.619446461111</v>
      </c>
      <c r="N356" s="589">
        <f t="shared" si="41"/>
        <v>43062.455963489352</v>
      </c>
      <c r="O356" s="589">
        <f t="shared" si="41"/>
        <v>47225.955963489352</v>
      </c>
      <c r="P356" s="589">
        <f t="shared" si="41"/>
        <v>54148.840778804457</v>
      </c>
      <c r="Q356" s="589">
        <f t="shared" si="41"/>
        <v>58061.057119842735</v>
      </c>
      <c r="R356" s="589">
        <f t="shared" si="41"/>
        <v>53123.673505212915</v>
      </c>
      <c r="S356" s="502"/>
      <c r="T356" s="611">
        <f>SUM(G356:R356)</f>
        <v>600197.93867562863</v>
      </c>
      <c r="U356" s="612" t="s">
        <v>194</v>
      </c>
      <c r="V356" s="586"/>
      <c r="W356" s="354"/>
      <c r="X356" s="574"/>
      <c r="Y356" s="574"/>
      <c r="Z356" s="355"/>
      <c r="AA356" s="355"/>
      <c r="AB356" s="355"/>
      <c r="AC356" s="355"/>
      <c r="AD356" s="355"/>
      <c r="AE356" s="355"/>
      <c r="AF356" s="355"/>
      <c r="AG356" s="355"/>
      <c r="AH356" s="355"/>
      <c r="AI356" s="355"/>
      <c r="AJ356" s="355"/>
      <c r="AK356" s="354"/>
      <c r="AL356" s="354"/>
      <c r="AM356" s="354"/>
      <c r="AN356" s="354"/>
    </row>
    <row r="357" spans="1:40" s="234" customFormat="1" x14ac:dyDescent="0.25">
      <c r="A357" s="354"/>
      <c r="B357" s="355"/>
      <c r="C357" s="600"/>
      <c r="D357" s="601"/>
      <c r="E357" s="598"/>
      <c r="F357" s="595" t="s">
        <v>189</v>
      </c>
      <c r="G357" s="590">
        <f>G321</f>
        <v>1953.6654610695109</v>
      </c>
      <c r="H357" s="590">
        <f t="shared" ref="H357:R357" si="42">H321</f>
        <v>1435.4151987829782</v>
      </c>
      <c r="I357" s="590">
        <f t="shared" si="42"/>
        <v>1435.4151987829782</v>
      </c>
      <c r="J357" s="590">
        <f t="shared" si="42"/>
        <v>1537.6032270764822</v>
      </c>
      <c r="K357" s="590">
        <f t="shared" si="42"/>
        <v>1649.5757245269242</v>
      </c>
      <c r="L357" s="590">
        <f t="shared" si="42"/>
        <v>1812.0697197054158</v>
      </c>
      <c r="M357" s="590">
        <f t="shared" si="42"/>
        <v>1662.1206482153702</v>
      </c>
      <c r="N357" s="590">
        <f t="shared" si="42"/>
        <v>1435.4151987829782</v>
      </c>
      <c r="O357" s="590">
        <f t="shared" si="42"/>
        <v>1574.1985321163115</v>
      </c>
      <c r="P357" s="590">
        <f t="shared" si="42"/>
        <v>1804.9613592934816</v>
      </c>
      <c r="Q357" s="590">
        <f t="shared" si="42"/>
        <v>1935.3685706614242</v>
      </c>
      <c r="R357" s="590">
        <f t="shared" si="42"/>
        <v>1770.7891168404303</v>
      </c>
      <c r="S357" s="502"/>
      <c r="T357" s="613">
        <f>AVERAGE(G357:R357)</f>
        <v>1667.2164963211908</v>
      </c>
      <c r="U357" s="614" t="s">
        <v>195</v>
      </c>
      <c r="V357" s="586"/>
      <c r="W357" s="354"/>
      <c r="X357" s="574"/>
      <c r="Y357" s="574"/>
      <c r="Z357" s="355"/>
      <c r="AA357" s="355"/>
      <c r="AB357" s="355"/>
      <c r="AC357" s="355"/>
      <c r="AD357" s="355"/>
      <c r="AE357" s="355"/>
      <c r="AF357" s="355"/>
      <c r="AG357" s="355"/>
      <c r="AH357" s="355"/>
      <c r="AI357" s="355"/>
      <c r="AJ357" s="355"/>
      <c r="AK357" s="354"/>
      <c r="AL357" s="354"/>
      <c r="AM357" s="354"/>
      <c r="AN357" s="354"/>
    </row>
    <row r="358" spans="1:40" customFormat="1" x14ac:dyDescent="0.25">
      <c r="A358" s="8"/>
      <c r="B358" s="40"/>
      <c r="C358" s="600"/>
      <c r="D358" s="601"/>
      <c r="E358" s="597">
        <f>H299</f>
        <v>2023</v>
      </c>
      <c r="F358" s="359" t="s">
        <v>188</v>
      </c>
      <c r="G358" s="591">
        <f>G334</f>
        <v>78766.890386706029</v>
      </c>
      <c r="H358" s="591">
        <f t="shared" ref="H358:R358" si="43">H334</f>
        <v>57872.339904118271</v>
      </c>
      <c r="I358" s="591">
        <f t="shared" si="43"/>
        <v>57872.339904118271</v>
      </c>
      <c r="J358" s="591">
        <f t="shared" si="43"/>
        <v>61992.304854013892</v>
      </c>
      <c r="K358" s="591">
        <f t="shared" si="43"/>
        <v>66506.755054805399</v>
      </c>
      <c r="L358" s="591">
        <f t="shared" si="43"/>
        <v>73058.105304768571</v>
      </c>
      <c r="M358" s="591">
        <f t="shared" si="43"/>
        <v>67012.534907481138</v>
      </c>
      <c r="N358" s="591">
        <f t="shared" si="43"/>
        <v>57872.339904118271</v>
      </c>
      <c r="O358" s="591">
        <f t="shared" si="43"/>
        <v>63467.735749517524</v>
      </c>
      <c r="P358" s="591">
        <f t="shared" si="43"/>
        <v>72771.514045132193</v>
      </c>
      <c r="Q358" s="591">
        <f t="shared" si="43"/>
        <v>78029.205665391273</v>
      </c>
      <c r="R358" s="591">
        <f t="shared" si="43"/>
        <v>71393.774954584966</v>
      </c>
      <c r="S358" s="502"/>
      <c r="T358" s="611">
        <f>SUM(G358:R358)</f>
        <v>806615.84063475591</v>
      </c>
      <c r="U358" s="612" t="s">
        <v>194</v>
      </c>
      <c r="V358" s="18"/>
      <c r="W358" s="8"/>
      <c r="X358" s="574"/>
      <c r="Y358" s="574"/>
      <c r="Z358" s="355"/>
      <c r="AA358" s="355"/>
      <c r="AB358" s="355"/>
      <c r="AC358" s="355"/>
      <c r="AD358" s="355"/>
      <c r="AE358" s="355"/>
      <c r="AF358" s="355"/>
      <c r="AG358" s="355"/>
      <c r="AH358" s="355"/>
      <c r="AI358" s="355"/>
      <c r="AJ358" s="355"/>
      <c r="AK358" s="354"/>
      <c r="AL358" s="354"/>
      <c r="AM358" s="354"/>
      <c r="AN358" s="354"/>
    </row>
    <row r="359" spans="1:40" customFormat="1" x14ac:dyDescent="0.25">
      <c r="A359" s="8"/>
      <c r="B359" s="40"/>
      <c r="C359" s="600"/>
      <c r="D359" s="601"/>
      <c r="E359" s="599"/>
      <c r="F359" s="593" t="s">
        <v>189</v>
      </c>
      <c r="G359" s="592">
        <f>G335</f>
        <v>2625.5630128902012</v>
      </c>
      <c r="H359" s="592">
        <f t="shared" ref="H359:R359" si="44">H335</f>
        <v>1929.0779968039426</v>
      </c>
      <c r="I359" s="592">
        <f t="shared" si="44"/>
        <v>1929.0779968039426</v>
      </c>
      <c r="J359" s="592">
        <f t="shared" si="44"/>
        <v>2066.4101618004634</v>
      </c>
      <c r="K359" s="592">
        <f t="shared" si="44"/>
        <v>2216.8918351601801</v>
      </c>
      <c r="L359" s="592">
        <f t="shared" si="44"/>
        <v>2435.2701768256193</v>
      </c>
      <c r="M359" s="592">
        <f t="shared" si="44"/>
        <v>2233.751163582705</v>
      </c>
      <c r="N359" s="592">
        <f t="shared" si="44"/>
        <v>1929.0779968039426</v>
      </c>
      <c r="O359" s="592">
        <f t="shared" si="44"/>
        <v>2115.5911916505843</v>
      </c>
      <c r="P359" s="592">
        <f t="shared" si="44"/>
        <v>2425.7171348377406</v>
      </c>
      <c r="Q359" s="592">
        <f t="shared" si="44"/>
        <v>2600.9735221797091</v>
      </c>
      <c r="R359" s="592">
        <f t="shared" si="44"/>
        <v>2379.7924984861656</v>
      </c>
      <c r="S359" s="502"/>
      <c r="T359" s="613">
        <f>AVERAGE(G359:R359)</f>
        <v>2240.5995573187665</v>
      </c>
      <c r="U359" s="614" t="s">
        <v>195</v>
      </c>
      <c r="V359" s="18"/>
      <c r="W359" s="8"/>
      <c r="X359" s="574"/>
      <c r="Y359" s="574"/>
      <c r="Z359" s="355"/>
      <c r="AA359" s="355"/>
      <c r="AB359" s="355"/>
      <c r="AC359" s="355"/>
      <c r="AD359" s="355"/>
      <c r="AE359" s="355"/>
      <c r="AF359" s="355"/>
      <c r="AG359" s="355"/>
      <c r="AH359" s="355"/>
      <c r="AI359" s="355"/>
      <c r="AJ359" s="355"/>
      <c r="AK359" s="354"/>
      <c r="AL359" s="354"/>
      <c r="AM359" s="354"/>
      <c r="AN359" s="354"/>
    </row>
    <row r="360" spans="1:40" customFormat="1" x14ac:dyDescent="0.25">
      <c r="A360" s="8"/>
      <c r="B360" s="40"/>
      <c r="C360" s="600"/>
      <c r="D360" s="601"/>
      <c r="E360" s="598">
        <f>H301</f>
        <v>2033</v>
      </c>
      <c r="F360" s="596" t="s">
        <v>188</v>
      </c>
      <c r="G360" s="591">
        <f>G348</f>
        <v>105856.11414069726</v>
      </c>
      <c r="H360" s="591">
        <f t="shared" ref="H360:R360" si="45">H348</f>
        <v>77775.585508114964</v>
      </c>
      <c r="I360" s="591">
        <f t="shared" si="45"/>
        <v>77775.585508114964</v>
      </c>
      <c r="J360" s="591">
        <f t="shared" si="45"/>
        <v>83312.473886603373</v>
      </c>
      <c r="K360" s="591">
        <f t="shared" si="45"/>
        <v>89379.517455180438</v>
      </c>
      <c r="L360" s="591">
        <f t="shared" si="45"/>
        <v>98183.98436292616</v>
      </c>
      <c r="M360" s="591">
        <f t="shared" si="45"/>
        <v>90059.243283533622</v>
      </c>
      <c r="N360" s="591">
        <f t="shared" si="45"/>
        <v>77775.585508114964</v>
      </c>
      <c r="O360" s="591">
        <f t="shared" si="45"/>
        <v>85295.329633661066</v>
      </c>
      <c r="P360" s="591">
        <f t="shared" si="45"/>
        <v>97798.829674923967</v>
      </c>
      <c r="Q360" s="591">
        <f t="shared" si="45"/>
        <v>104864.72756093046</v>
      </c>
      <c r="R360" s="591">
        <f t="shared" si="45"/>
        <v>95947.263544674875</v>
      </c>
      <c r="S360" s="502"/>
      <c r="T360" s="611">
        <f>SUM(G360:R360)</f>
        <v>1084024.2400674762</v>
      </c>
      <c r="U360" s="612" t="s">
        <v>194</v>
      </c>
      <c r="V360" s="18"/>
      <c r="W360" s="8"/>
      <c r="X360" s="574"/>
      <c r="Y360" s="574"/>
      <c r="Z360" s="355"/>
      <c r="AA360" s="355"/>
      <c r="AB360" s="355"/>
      <c r="AC360" s="355"/>
      <c r="AD360" s="355"/>
      <c r="AE360" s="355"/>
      <c r="AF360" s="355"/>
      <c r="AG360" s="355"/>
      <c r="AH360" s="355"/>
      <c r="AI360" s="355"/>
      <c r="AJ360" s="355"/>
      <c r="AK360" s="354"/>
      <c r="AL360" s="354"/>
      <c r="AM360" s="354"/>
      <c r="AN360" s="354"/>
    </row>
    <row r="361" spans="1:40" customFormat="1" x14ac:dyDescent="0.25">
      <c r="A361" s="8"/>
      <c r="B361" s="40"/>
      <c r="C361" s="600"/>
      <c r="D361" s="601"/>
      <c r="E361" s="594"/>
      <c r="F361" s="593" t="s">
        <v>189</v>
      </c>
      <c r="G361" s="592">
        <f>G349</f>
        <v>3528.5371380232423</v>
      </c>
      <c r="H361" s="592">
        <f t="shared" ref="H361:R361" si="46">H349</f>
        <v>2592.5195169371655</v>
      </c>
      <c r="I361" s="592">
        <f t="shared" si="46"/>
        <v>2592.5195169371655</v>
      </c>
      <c r="J361" s="592">
        <f t="shared" si="46"/>
        <v>2777.082462886779</v>
      </c>
      <c r="K361" s="592">
        <f t="shared" si="46"/>
        <v>2979.3172485060145</v>
      </c>
      <c r="L361" s="592">
        <f t="shared" si="46"/>
        <v>3272.7994787642056</v>
      </c>
      <c r="M361" s="592">
        <f t="shared" si="46"/>
        <v>3001.9747761177873</v>
      </c>
      <c r="N361" s="592">
        <f t="shared" si="46"/>
        <v>2592.5195169371655</v>
      </c>
      <c r="O361" s="592">
        <f t="shared" si="46"/>
        <v>2843.1776544553691</v>
      </c>
      <c r="P361" s="592">
        <f t="shared" si="46"/>
        <v>3259.9609891641321</v>
      </c>
      <c r="Q361" s="592">
        <f t="shared" si="46"/>
        <v>3495.490918697682</v>
      </c>
      <c r="R361" s="592">
        <f t="shared" si="46"/>
        <v>3198.2421181558288</v>
      </c>
      <c r="S361" s="502"/>
      <c r="T361" s="613">
        <f>AVERAGE(G361:R361)</f>
        <v>3011.1784446318779</v>
      </c>
      <c r="U361" s="614" t="s">
        <v>195</v>
      </c>
      <c r="V361" s="18"/>
      <c r="W361" s="8"/>
      <c r="X361" s="574"/>
      <c r="Y361" s="574"/>
      <c r="Z361" s="355"/>
      <c r="AA361" s="355"/>
      <c r="AB361" s="355"/>
      <c r="AC361" s="355"/>
      <c r="AD361" s="355"/>
      <c r="AE361" s="355"/>
      <c r="AF361" s="355"/>
      <c r="AG361" s="355"/>
      <c r="AH361" s="355"/>
      <c r="AI361" s="355"/>
      <c r="AJ361" s="355"/>
      <c r="AK361" s="354"/>
      <c r="AL361" s="354"/>
      <c r="AM361" s="354"/>
      <c r="AN361" s="354"/>
    </row>
    <row r="362" spans="1:40" s="40" customFormat="1" x14ac:dyDescent="0.25">
      <c r="A362" s="219"/>
      <c r="B362" s="219"/>
      <c r="D362" s="602"/>
      <c r="E362" s="603"/>
      <c r="F362" s="116"/>
      <c r="G362" s="116"/>
      <c r="H362" s="604"/>
      <c r="I362" s="605"/>
      <c r="J362" s="606"/>
      <c r="K362" s="607"/>
      <c r="L362" s="608"/>
      <c r="M362" s="116"/>
      <c r="N362" s="116"/>
      <c r="O362" s="116"/>
      <c r="P362" s="116"/>
      <c r="Q362" s="116"/>
      <c r="R362" s="116"/>
      <c r="S362" s="116"/>
      <c r="T362" s="116"/>
      <c r="U362" s="116"/>
      <c r="V362" s="117"/>
    </row>
    <row r="363" spans="1:40" s="40" customFormat="1" x14ac:dyDescent="0.25">
      <c r="A363" s="219"/>
      <c r="B363" s="219"/>
      <c r="D363" s="588"/>
      <c r="E363" s="588"/>
      <c r="H363" s="88"/>
      <c r="I363" s="89"/>
      <c r="J363" s="90"/>
      <c r="K363" s="91"/>
      <c r="L363" s="573"/>
    </row>
    <row r="364" spans="1:40" x14ac:dyDescent="0.25">
      <c r="G364" s="40"/>
      <c r="H364" s="68"/>
      <c r="I364" s="40"/>
      <c r="J364" s="40"/>
      <c r="K364" s="40"/>
      <c r="L364" s="40"/>
      <c r="M364" s="40"/>
      <c r="N364" s="40"/>
      <c r="O364" s="40"/>
      <c r="P364" s="40"/>
      <c r="Q364" s="40"/>
      <c r="R364" s="40"/>
      <c r="S364" s="40"/>
      <c r="T364" s="40"/>
    </row>
    <row r="365" spans="1:40" s="526" customFormat="1" x14ac:dyDescent="0.25">
      <c r="G365" s="527"/>
      <c r="H365" s="528"/>
      <c r="I365" s="527"/>
      <c r="J365" s="527"/>
      <c r="K365" s="527"/>
      <c r="L365" s="527"/>
      <c r="M365" s="527"/>
      <c r="N365" s="527"/>
      <c r="O365" s="527"/>
      <c r="P365" s="527"/>
      <c r="Q365" s="527"/>
      <c r="R365" s="527"/>
      <c r="S365" s="527"/>
      <c r="T365" s="527"/>
    </row>
    <row r="366" spans="1:40" x14ac:dyDescent="0.25"/>
    <row r="367" spans="1:40" x14ac:dyDescent="0.25">
      <c r="B367" s="983" t="s">
        <v>251</v>
      </c>
      <c r="C367" s="880"/>
      <c r="D367" s="851"/>
      <c r="G367" s="93"/>
      <c r="H367" s="94"/>
      <c r="I367" s="95"/>
      <c r="J367" s="95"/>
      <c r="K367" s="95"/>
      <c r="L367" s="95"/>
      <c r="M367" s="95"/>
      <c r="N367" s="95"/>
      <c r="O367" s="95"/>
      <c r="P367" s="95"/>
      <c r="Q367" s="95"/>
      <c r="R367" s="95"/>
      <c r="S367" s="95"/>
      <c r="T367" s="95"/>
      <c r="U367" s="95"/>
      <c r="V367" s="96"/>
    </row>
    <row r="368" spans="1:40" x14ac:dyDescent="0.25">
      <c r="B368" s="870"/>
      <c r="C368" s="881"/>
      <c r="D368" s="857"/>
      <c r="G368" s="97"/>
      <c r="H368" s="98"/>
      <c r="I368" s="99"/>
      <c r="J368" s="984" t="s">
        <v>44</v>
      </c>
      <c r="K368" s="985"/>
      <c r="L368" s="985"/>
      <c r="M368" s="985"/>
      <c r="N368" s="985"/>
      <c r="O368" s="985"/>
      <c r="P368" s="985"/>
      <c r="Q368" s="985"/>
      <c r="R368" s="985"/>
      <c r="S368" s="985"/>
      <c r="T368" s="966"/>
      <c r="U368" s="830"/>
      <c r="V368" s="100"/>
    </row>
    <row r="369" spans="1:40" ht="15" customHeight="1" x14ac:dyDescent="0.25">
      <c r="G369" s="97"/>
      <c r="H369" s="98"/>
      <c r="I369" s="99"/>
      <c r="J369" s="986" t="s">
        <v>2</v>
      </c>
      <c r="K369" s="987"/>
      <c r="L369" s="986" t="s">
        <v>24</v>
      </c>
      <c r="M369" s="987"/>
      <c r="N369" s="986" t="s">
        <v>36</v>
      </c>
      <c r="O369" s="987"/>
      <c r="P369" s="986" t="s">
        <v>58</v>
      </c>
      <c r="Q369" s="987"/>
      <c r="R369" s="986" t="s">
        <v>278</v>
      </c>
      <c r="S369" s="987"/>
      <c r="T369" s="988" t="s">
        <v>25</v>
      </c>
      <c r="U369" s="989"/>
      <c r="V369" s="100"/>
    </row>
    <row r="370" spans="1:40" ht="15" customHeight="1" x14ac:dyDescent="0.25">
      <c r="G370" s="97"/>
      <c r="H370" s="98"/>
      <c r="I370" s="99"/>
      <c r="J370" s="990" t="s">
        <v>104</v>
      </c>
      <c r="K370" s="991"/>
      <c r="L370" s="990" t="s">
        <v>104</v>
      </c>
      <c r="M370" s="991"/>
      <c r="N370" s="992"/>
      <c r="O370" s="993"/>
      <c r="P370" s="994" t="s">
        <v>249</v>
      </c>
      <c r="Q370" s="987"/>
      <c r="R370" s="992"/>
      <c r="S370" s="993"/>
      <c r="T370" s="995"/>
      <c r="U370" s="996"/>
      <c r="V370" s="100"/>
    </row>
    <row r="371" spans="1:40" x14ac:dyDescent="0.25">
      <c r="G371" s="97"/>
      <c r="H371" s="98"/>
      <c r="I371" s="99"/>
      <c r="J371" s="378">
        <f>J40</f>
        <v>20</v>
      </c>
      <c r="K371" s="379" t="s">
        <v>105</v>
      </c>
      <c r="L371" s="997" t="str">
        <f>L98</f>
        <v>CENSUS Data</v>
      </c>
      <c r="M371" s="998"/>
      <c r="N371" s="999"/>
      <c r="O371" s="1000"/>
      <c r="P371" s="999"/>
      <c r="Q371" s="1000"/>
      <c r="R371" s="999"/>
      <c r="S371" s="1000"/>
      <c r="T371" s="1009"/>
      <c r="U371" s="1010"/>
      <c r="V371" s="100"/>
    </row>
    <row r="372" spans="1:40" x14ac:dyDescent="0.25">
      <c r="D372" s="955"/>
      <c r="E372" s="956"/>
      <c r="G372" s="101"/>
      <c r="H372" s="102" t="s">
        <v>0</v>
      </c>
      <c r="I372" s="99"/>
      <c r="J372" s="409"/>
      <c r="K372" s="99"/>
      <c r="L372" s="99"/>
      <c r="M372" s="99"/>
      <c r="N372" s="99"/>
      <c r="O372" s="99"/>
      <c r="P372" s="99"/>
      <c r="Q372" s="99"/>
      <c r="R372" s="99"/>
      <c r="S372" s="99"/>
      <c r="T372" s="102"/>
      <c r="U372" s="102"/>
      <c r="V372" s="100"/>
    </row>
    <row r="373" spans="1:40" x14ac:dyDescent="0.25">
      <c r="D373" s="956"/>
      <c r="E373" s="956"/>
      <c r="G373" s="97"/>
      <c r="H373" s="103">
        <f>F22</f>
        <v>2013</v>
      </c>
      <c r="I373" s="104"/>
      <c r="J373" s="403">
        <f>J43</f>
        <v>590.14928943539996</v>
      </c>
      <c r="K373" s="105" t="s">
        <v>200</v>
      </c>
      <c r="L373" s="403">
        <f>J101</f>
        <v>0</v>
      </c>
      <c r="M373" s="105" t="s">
        <v>200</v>
      </c>
      <c r="N373" s="403">
        <f>K206</f>
        <v>146.49662222946964</v>
      </c>
      <c r="O373" s="105" t="s">
        <v>200</v>
      </c>
      <c r="P373" s="403">
        <f>K261</f>
        <v>83.27</v>
      </c>
      <c r="Q373" s="105" t="s">
        <v>200</v>
      </c>
      <c r="R373" s="403">
        <f>L373*'6 - Wildlife'!E9</f>
        <v>0</v>
      </c>
      <c r="S373" s="105" t="s">
        <v>200</v>
      </c>
      <c r="T373" s="406">
        <f>SUM(J373,L373,N373,P373,R373)</f>
        <v>819.91591166486955</v>
      </c>
      <c r="U373" s="106" t="s">
        <v>200</v>
      </c>
      <c r="V373" s="100"/>
    </row>
    <row r="374" spans="1:40" x14ac:dyDescent="0.25">
      <c r="G374" s="97"/>
      <c r="H374" s="107"/>
      <c r="I374" s="108"/>
      <c r="J374" s="404"/>
      <c r="K374" s="110"/>
      <c r="L374" s="404"/>
      <c r="M374" s="110"/>
      <c r="N374" s="404"/>
      <c r="O374" s="110"/>
      <c r="P374" s="404"/>
      <c r="Q374" s="396"/>
      <c r="R374" s="404"/>
      <c r="S374" s="396"/>
      <c r="T374" s="407"/>
      <c r="U374" s="397"/>
      <c r="V374" s="100"/>
    </row>
    <row r="375" spans="1:40" x14ac:dyDescent="0.25">
      <c r="G375" s="112"/>
      <c r="H375" s="103">
        <f>F24</f>
        <v>2023</v>
      </c>
      <c r="I375" s="104"/>
      <c r="J375" s="403">
        <f>J45</f>
        <v>793.11129633052883</v>
      </c>
      <c r="K375" s="105" t="s">
        <v>200</v>
      </c>
      <c r="L375" s="403">
        <f>J103</f>
        <v>0</v>
      </c>
      <c r="M375" s="105" t="s">
        <v>200</v>
      </c>
      <c r="N375" s="403">
        <f>K208</f>
        <v>196.87921013277241</v>
      </c>
      <c r="O375" s="105" t="s">
        <v>200</v>
      </c>
      <c r="P375" s="403">
        <f>K263</f>
        <v>111.90791690798501</v>
      </c>
      <c r="Q375" s="105" t="s">
        <v>200</v>
      </c>
      <c r="R375" s="403">
        <f>L375*'6 - Wildlife'!E9</f>
        <v>0</v>
      </c>
      <c r="S375" s="105" t="s">
        <v>200</v>
      </c>
      <c r="T375" s="406">
        <f>SUM(J375,L375,N375,P375,R375)</f>
        <v>1101.8984233712863</v>
      </c>
      <c r="U375" s="106" t="s">
        <v>200</v>
      </c>
      <c r="V375" s="100"/>
    </row>
    <row r="376" spans="1:40" x14ac:dyDescent="0.25">
      <c r="G376" s="97"/>
      <c r="H376" s="107"/>
      <c r="I376" s="108"/>
      <c r="J376" s="405"/>
      <c r="K376" s="110"/>
      <c r="L376" s="404"/>
      <c r="M376" s="110"/>
      <c r="N376" s="404"/>
      <c r="O376" s="110"/>
      <c r="P376" s="404"/>
      <c r="Q376" s="396"/>
      <c r="R376" s="404"/>
      <c r="S376" s="396"/>
      <c r="T376" s="408"/>
      <c r="U376" s="111"/>
      <c r="V376" s="100"/>
    </row>
    <row r="377" spans="1:40" x14ac:dyDescent="0.25">
      <c r="G377" s="112"/>
      <c r="H377" s="103">
        <f>F26</f>
        <v>2033</v>
      </c>
      <c r="I377" s="104"/>
      <c r="J377" s="403">
        <f>J47</f>
        <v>1065.8752617814471</v>
      </c>
      <c r="K377" s="105" t="s">
        <v>200</v>
      </c>
      <c r="L377" s="403">
        <f>J105</f>
        <v>0</v>
      </c>
      <c r="M377" s="105" t="s">
        <v>200</v>
      </c>
      <c r="N377" s="403">
        <f>K210</f>
        <v>264.58919524976602</v>
      </c>
      <c r="O377" s="105" t="s">
        <v>200</v>
      </c>
      <c r="P377" s="403">
        <f>K265</f>
        <v>150.39488251092203</v>
      </c>
      <c r="Q377" s="105" t="s">
        <v>200</v>
      </c>
      <c r="R377" s="403">
        <f>L377*'6 - Wildlife'!E9</f>
        <v>0</v>
      </c>
      <c r="S377" s="105" t="s">
        <v>200</v>
      </c>
      <c r="T377" s="406">
        <f>SUM(J377,L377,N377,P377,R377)</f>
        <v>1480.8593395421351</v>
      </c>
      <c r="U377" s="106" t="s">
        <v>200</v>
      </c>
      <c r="V377" s="100"/>
    </row>
    <row r="378" spans="1:40" x14ac:dyDescent="0.25">
      <c r="G378" s="97"/>
      <c r="H378" s="113"/>
      <c r="I378" s="108"/>
      <c r="J378" s="405"/>
      <c r="K378" s="110"/>
      <c r="L378" s="109"/>
      <c r="M378" s="110"/>
      <c r="N378" s="404"/>
      <c r="O378" s="110"/>
      <c r="P378" s="404"/>
      <c r="Q378" s="396"/>
      <c r="R378" s="404"/>
      <c r="S378" s="396"/>
      <c r="T378" s="408"/>
      <c r="U378" s="111"/>
      <c r="V378" s="100"/>
    </row>
    <row r="379" spans="1:40" x14ac:dyDescent="0.25">
      <c r="G379" s="114"/>
      <c r="H379" s="115"/>
      <c r="I379" s="116"/>
      <c r="J379" s="116"/>
      <c r="K379" s="116"/>
      <c r="L379" s="116"/>
      <c r="M379" s="116"/>
      <c r="N379" s="116"/>
      <c r="O379" s="116"/>
      <c r="P379" s="116"/>
      <c r="Q379" s="116"/>
      <c r="R379" s="116"/>
      <c r="S379" s="116"/>
      <c r="T379" s="116"/>
      <c r="U379" s="116"/>
      <c r="V379" s="117"/>
    </row>
    <row r="380" spans="1:40" x14ac:dyDescent="0.25">
      <c r="G380" s="40"/>
      <c r="H380" s="68"/>
      <c r="I380" s="40"/>
      <c r="J380" s="40"/>
      <c r="K380" s="40"/>
      <c r="L380" s="40"/>
      <c r="M380" s="40"/>
      <c r="N380" s="40"/>
      <c r="O380" s="40"/>
      <c r="P380" s="40"/>
      <c r="Q380" s="40"/>
      <c r="R380" s="40"/>
      <c r="S380" s="40"/>
      <c r="T380" s="40"/>
    </row>
    <row r="381" spans="1:40" x14ac:dyDescent="0.25">
      <c r="B381" s="9"/>
      <c r="C381" s="10"/>
      <c r="D381" s="10"/>
      <c r="E381" s="10"/>
      <c r="F381" s="10"/>
      <c r="G381" s="10"/>
      <c r="H381" s="214"/>
      <c r="I381" s="576"/>
      <c r="J381" s="215"/>
      <c r="K381" s="216"/>
      <c r="L381" s="217"/>
      <c r="M381" s="10"/>
      <c r="N381" s="10"/>
      <c r="O381" s="10"/>
      <c r="P381" s="10"/>
      <c r="Q381" s="10"/>
      <c r="R381" s="10"/>
      <c r="S381" s="10"/>
      <c r="T381" s="10"/>
      <c r="U381" s="10"/>
      <c r="V381" s="12"/>
    </row>
    <row r="382" spans="1:40" ht="15" customHeight="1" x14ac:dyDescent="0.25">
      <c r="A382" s="38"/>
      <c r="B382" s="584"/>
      <c r="C382" s="14"/>
      <c r="D382" s="14"/>
      <c r="E382" s="14"/>
      <c r="F382" s="356"/>
      <c r="G382" s="979" t="s">
        <v>248</v>
      </c>
      <c r="H382" s="980"/>
      <c r="I382" s="980"/>
      <c r="J382" s="980"/>
      <c r="K382" s="980"/>
      <c r="L382" s="980"/>
      <c r="M382" s="980"/>
      <c r="N382" s="980"/>
      <c r="O382" s="980"/>
      <c r="P382" s="980"/>
      <c r="Q382" s="980"/>
      <c r="R382" s="981"/>
      <c r="S382" s="14"/>
      <c r="T382" s="982"/>
      <c r="U382" s="918"/>
      <c r="V382" s="18"/>
    </row>
    <row r="383" spans="1:40" s="234" customFormat="1" ht="15" customHeight="1" x14ac:dyDescent="0.25">
      <c r="A383" s="354"/>
      <c r="B383" s="585"/>
      <c r="C383" s="250"/>
      <c r="D383" s="568"/>
      <c r="E383" s="14"/>
      <c r="F383" s="41"/>
      <c r="G383" s="384" t="s">
        <v>92</v>
      </c>
      <c r="H383" s="384" t="s">
        <v>93</v>
      </c>
      <c r="I383" s="384" t="s">
        <v>94</v>
      </c>
      <c r="J383" s="384" t="s">
        <v>95</v>
      </c>
      <c r="K383" s="384" t="s">
        <v>96</v>
      </c>
      <c r="L383" s="384" t="s">
        <v>97</v>
      </c>
      <c r="M383" s="384" t="s">
        <v>98</v>
      </c>
      <c r="N383" s="384" t="s">
        <v>99</v>
      </c>
      <c r="O383" s="384" t="s">
        <v>100</v>
      </c>
      <c r="P383" s="384" t="s">
        <v>101</v>
      </c>
      <c r="Q383" s="384" t="s">
        <v>102</v>
      </c>
      <c r="R383" s="384" t="s">
        <v>103</v>
      </c>
      <c r="S383" s="502"/>
      <c r="T383" s="915" t="s">
        <v>25</v>
      </c>
      <c r="U383" s="918"/>
      <c r="V383" s="586"/>
      <c r="W383" s="354"/>
      <c r="X383" s="355"/>
      <c r="Y383" s="222"/>
      <c r="Z383" s="355"/>
      <c r="AA383" s="355"/>
      <c r="AB383" s="355"/>
      <c r="AC383" s="355"/>
      <c r="AD383" s="355"/>
      <c r="AE383" s="355"/>
      <c r="AF383" s="355"/>
      <c r="AG383" s="355"/>
      <c r="AH383" s="355"/>
      <c r="AI383" s="355"/>
      <c r="AJ383" s="355"/>
      <c r="AK383" s="354"/>
      <c r="AL383" s="354"/>
      <c r="AM383" s="354"/>
      <c r="AN383" s="354"/>
    </row>
    <row r="384" spans="1:40" x14ac:dyDescent="0.25">
      <c r="B384" s="13"/>
      <c r="C384" s="14"/>
      <c r="D384" s="14"/>
      <c r="E384" s="14"/>
      <c r="F384" s="15"/>
      <c r="G384" s="14"/>
      <c r="H384" s="14"/>
      <c r="I384" s="14"/>
      <c r="J384" s="14"/>
      <c r="K384" s="14"/>
      <c r="L384" s="14"/>
      <c r="M384" s="14"/>
      <c r="N384" s="14"/>
      <c r="O384" s="14"/>
      <c r="P384" s="14"/>
      <c r="Q384" s="14"/>
      <c r="R384" s="14"/>
      <c r="S384" s="14"/>
      <c r="T384" s="14"/>
      <c r="U384" s="14"/>
      <c r="V384" s="18"/>
    </row>
    <row r="385" spans="1:40" s="234" customFormat="1" ht="15" customHeight="1" x14ac:dyDescent="0.25">
      <c r="A385" s="354"/>
      <c r="B385" s="585"/>
      <c r="C385" s="498">
        <f>F22</f>
        <v>2013</v>
      </c>
      <c r="D385" s="968" t="str">
        <f>J369</f>
        <v>Basic domestic</v>
      </c>
      <c r="E385" s="1003"/>
      <c r="F385" s="359" t="s">
        <v>188</v>
      </c>
      <c r="G385" s="380">
        <f>G386*30</f>
        <v>17704.478683062</v>
      </c>
      <c r="H385" s="380">
        <f t="shared" ref="H385:R385" si="47">H386*30</f>
        <v>17704.478683062</v>
      </c>
      <c r="I385" s="380">
        <f t="shared" si="47"/>
        <v>17704.478683062</v>
      </c>
      <c r="J385" s="380">
        <f t="shared" si="47"/>
        <v>17704.478683062</v>
      </c>
      <c r="K385" s="380">
        <f t="shared" si="47"/>
        <v>17704.478683062</v>
      </c>
      <c r="L385" s="380">
        <f t="shared" si="47"/>
        <v>17704.478683062</v>
      </c>
      <c r="M385" s="380">
        <f t="shared" si="47"/>
        <v>17704.478683062</v>
      </c>
      <c r="N385" s="380">
        <f t="shared" si="47"/>
        <v>17704.478683062</v>
      </c>
      <c r="O385" s="380">
        <f t="shared" si="47"/>
        <v>17704.478683062</v>
      </c>
      <c r="P385" s="380">
        <f t="shared" si="47"/>
        <v>17704.478683062</v>
      </c>
      <c r="Q385" s="380">
        <f t="shared" si="47"/>
        <v>17704.478683062</v>
      </c>
      <c r="R385" s="380">
        <f t="shared" si="47"/>
        <v>17704.478683062</v>
      </c>
      <c r="S385" s="502"/>
      <c r="T385" s="537">
        <f>SUM(G385:R385)</f>
        <v>212453.74419674405</v>
      </c>
      <c r="U385" s="532" t="s">
        <v>194</v>
      </c>
      <c r="V385" s="586"/>
      <c r="W385" s="354"/>
      <c r="X385" s="222"/>
      <c r="Y385" s="222"/>
      <c r="Z385" s="355"/>
      <c r="AA385" s="355"/>
      <c r="AB385" s="355"/>
      <c r="AC385" s="355"/>
      <c r="AD385" s="355"/>
      <c r="AE385" s="355"/>
      <c r="AF385" s="355"/>
      <c r="AG385" s="355"/>
      <c r="AH385" s="355"/>
      <c r="AI385" s="355"/>
      <c r="AJ385" s="355"/>
      <c r="AK385" s="354"/>
      <c r="AL385" s="354"/>
      <c r="AM385" s="354"/>
      <c r="AN385" s="354"/>
    </row>
    <row r="386" spans="1:40" s="234" customFormat="1" ht="15" customHeight="1" x14ac:dyDescent="0.25">
      <c r="A386" s="354"/>
      <c r="B386" s="585"/>
      <c r="C386" s="499"/>
      <c r="D386" s="572"/>
      <c r="E386" s="313"/>
      <c r="F386" s="495" t="s">
        <v>189</v>
      </c>
      <c r="G386" s="501">
        <f>$J$373</f>
        <v>590.14928943539996</v>
      </c>
      <c r="H386" s="501">
        <f t="shared" ref="H386:R386" si="48">$J$373</f>
        <v>590.14928943539996</v>
      </c>
      <c r="I386" s="501">
        <f t="shared" si="48"/>
        <v>590.14928943539996</v>
      </c>
      <c r="J386" s="501">
        <f t="shared" si="48"/>
        <v>590.14928943539996</v>
      </c>
      <c r="K386" s="501">
        <f t="shared" si="48"/>
        <v>590.14928943539996</v>
      </c>
      <c r="L386" s="501">
        <f t="shared" si="48"/>
        <v>590.14928943539996</v>
      </c>
      <c r="M386" s="501">
        <f t="shared" si="48"/>
        <v>590.14928943539996</v>
      </c>
      <c r="N386" s="501">
        <f t="shared" si="48"/>
        <v>590.14928943539996</v>
      </c>
      <c r="O386" s="501">
        <f t="shared" si="48"/>
        <v>590.14928943539996</v>
      </c>
      <c r="P386" s="501">
        <f t="shared" si="48"/>
        <v>590.14928943539996</v>
      </c>
      <c r="Q386" s="501">
        <f t="shared" si="48"/>
        <v>590.14928943539996</v>
      </c>
      <c r="R386" s="501">
        <f t="shared" si="48"/>
        <v>590.14928943539996</v>
      </c>
      <c r="S386" s="502"/>
      <c r="T386" s="538">
        <f>AVERAGE(G386:R386)</f>
        <v>590.14928943539985</v>
      </c>
      <c r="U386" s="535" t="s">
        <v>195</v>
      </c>
      <c r="V386" s="586"/>
      <c r="W386" s="354"/>
      <c r="X386" s="222"/>
      <c r="Y386" s="222"/>
      <c r="Z386" s="355"/>
      <c r="AA386" s="355"/>
      <c r="AB386" s="355"/>
      <c r="AC386" s="355"/>
      <c r="AD386" s="355"/>
      <c r="AE386" s="355"/>
      <c r="AF386" s="355"/>
      <c r="AG386" s="355"/>
      <c r="AH386" s="355"/>
      <c r="AI386" s="355"/>
      <c r="AJ386" s="355"/>
      <c r="AK386" s="354"/>
      <c r="AL386" s="354"/>
      <c r="AM386" s="354"/>
      <c r="AN386" s="354"/>
    </row>
    <row r="387" spans="1:40" s="234" customFormat="1" ht="15" customHeight="1" x14ac:dyDescent="0.25">
      <c r="A387" s="354"/>
      <c r="B387" s="585"/>
      <c r="C387" s="499"/>
      <c r="D387" s="968" t="str">
        <f>L369</f>
        <v>Livestock</v>
      </c>
      <c r="E387" s="1003"/>
      <c r="F387" s="359" t="s">
        <v>188</v>
      </c>
      <c r="G387" s="380">
        <f>G388*30</f>
        <v>0</v>
      </c>
      <c r="H387" s="380">
        <f t="shared" ref="H387:R387" si="49">H388*30</f>
        <v>0</v>
      </c>
      <c r="I387" s="380">
        <f t="shared" si="49"/>
        <v>0</v>
      </c>
      <c r="J387" s="380">
        <f t="shared" si="49"/>
        <v>0</v>
      </c>
      <c r="K387" s="380">
        <f t="shared" si="49"/>
        <v>0</v>
      </c>
      <c r="L387" s="380">
        <f t="shared" si="49"/>
        <v>0</v>
      </c>
      <c r="M387" s="380">
        <f t="shared" si="49"/>
        <v>0</v>
      </c>
      <c r="N387" s="380">
        <f t="shared" si="49"/>
        <v>0</v>
      </c>
      <c r="O387" s="380">
        <f t="shared" si="49"/>
        <v>0</v>
      </c>
      <c r="P387" s="380">
        <f t="shared" si="49"/>
        <v>0</v>
      </c>
      <c r="Q387" s="380">
        <f t="shared" si="49"/>
        <v>0</v>
      </c>
      <c r="R387" s="380">
        <f t="shared" si="49"/>
        <v>0</v>
      </c>
      <c r="S387" s="502"/>
      <c r="T387" s="537">
        <f>SUM(G387:R387)</f>
        <v>0</v>
      </c>
      <c r="U387" s="532" t="s">
        <v>194</v>
      </c>
      <c r="V387" s="586"/>
      <c r="W387" s="354"/>
      <c r="X387" s="222"/>
      <c r="Y387" s="222"/>
      <c r="Z387" s="355"/>
      <c r="AA387" s="355"/>
      <c r="AB387" s="355"/>
      <c r="AC387" s="355"/>
      <c r="AD387" s="355"/>
      <c r="AE387" s="355"/>
      <c r="AF387" s="355"/>
      <c r="AG387" s="355"/>
      <c r="AH387" s="355"/>
      <c r="AI387" s="355"/>
      <c r="AJ387" s="355"/>
      <c r="AK387" s="354"/>
      <c r="AL387" s="354"/>
      <c r="AM387" s="354"/>
      <c r="AN387" s="354"/>
    </row>
    <row r="388" spans="1:40" s="234" customFormat="1" ht="15" customHeight="1" x14ac:dyDescent="0.25">
      <c r="A388" s="354"/>
      <c r="B388" s="585"/>
      <c r="C388" s="499"/>
      <c r="D388" s="1004" t="str">
        <f>L371</f>
        <v>CENSUS Data</v>
      </c>
      <c r="E388" s="1005"/>
      <c r="F388" s="495" t="s">
        <v>189</v>
      </c>
      <c r="G388" s="501">
        <f>$J$101</f>
        <v>0</v>
      </c>
      <c r="H388" s="501">
        <f t="shared" ref="H388:R388" si="50">$J$101</f>
        <v>0</v>
      </c>
      <c r="I388" s="501">
        <f t="shared" si="50"/>
        <v>0</v>
      </c>
      <c r="J388" s="501">
        <f t="shared" si="50"/>
        <v>0</v>
      </c>
      <c r="K388" s="501">
        <f t="shared" si="50"/>
        <v>0</v>
      </c>
      <c r="L388" s="501">
        <f t="shared" si="50"/>
        <v>0</v>
      </c>
      <c r="M388" s="501">
        <f t="shared" si="50"/>
        <v>0</v>
      </c>
      <c r="N388" s="501">
        <f t="shared" si="50"/>
        <v>0</v>
      </c>
      <c r="O388" s="501">
        <f t="shared" si="50"/>
        <v>0</v>
      </c>
      <c r="P388" s="501">
        <f t="shared" si="50"/>
        <v>0</v>
      </c>
      <c r="Q388" s="501">
        <f t="shared" si="50"/>
        <v>0</v>
      </c>
      <c r="R388" s="501">
        <f t="shared" si="50"/>
        <v>0</v>
      </c>
      <c r="S388" s="502"/>
      <c r="T388" s="538">
        <f>AVERAGE(G388:R388)</f>
        <v>0</v>
      </c>
      <c r="U388" s="535" t="s">
        <v>195</v>
      </c>
      <c r="V388" s="586"/>
      <c r="W388" s="354"/>
      <c r="X388" s="222"/>
      <c r="Y388" s="222"/>
      <c r="Z388" s="355"/>
      <c r="AA388" s="355"/>
      <c r="AB388" s="355"/>
      <c r="AC388" s="355"/>
      <c r="AD388" s="355"/>
      <c r="AE388" s="355"/>
      <c r="AF388" s="355"/>
      <c r="AG388" s="355"/>
      <c r="AH388" s="355"/>
      <c r="AI388" s="355"/>
      <c r="AJ388" s="355"/>
      <c r="AK388" s="354"/>
      <c r="AL388" s="354"/>
      <c r="AM388" s="354"/>
      <c r="AN388" s="354"/>
    </row>
    <row r="389" spans="1:40" s="234" customFormat="1" ht="15" customHeight="1" x14ac:dyDescent="0.25">
      <c r="A389" s="354"/>
      <c r="B389" s="585"/>
      <c r="C389" s="499"/>
      <c r="D389" s="968" t="str">
        <f>N369</f>
        <v>Agriculture</v>
      </c>
      <c r="E389" s="1003"/>
      <c r="F389" s="359" t="s">
        <v>188</v>
      </c>
      <c r="G389" s="380">
        <f t="shared" ref="G389:R390" si="51">I192</f>
        <v>11384.007868595978</v>
      </c>
      <c r="H389" s="380">
        <f t="shared" si="51"/>
        <v>0</v>
      </c>
      <c r="I389" s="380">
        <f t="shared" si="51"/>
        <v>0</v>
      </c>
      <c r="J389" s="380">
        <f t="shared" si="51"/>
        <v>3065.6408488051215</v>
      </c>
      <c r="K389" s="380">
        <f t="shared" si="51"/>
        <v>6424.8157723183795</v>
      </c>
      <c r="L389" s="380">
        <f t="shared" si="51"/>
        <v>11299.635627673124</v>
      </c>
      <c r="M389" s="380">
        <f t="shared" si="51"/>
        <v>6801.1634829717614</v>
      </c>
      <c r="N389" s="380">
        <f t="shared" si="51"/>
        <v>0</v>
      </c>
      <c r="O389" s="380">
        <f t="shared" si="51"/>
        <v>0</v>
      </c>
      <c r="P389" s="380">
        <f t="shared" si="51"/>
        <v>4424.7848153151044</v>
      </c>
      <c r="Q389" s="380">
        <f t="shared" si="51"/>
        <v>6671.6011563533839</v>
      </c>
      <c r="R389" s="380">
        <f t="shared" si="51"/>
        <v>3399.6175417235645</v>
      </c>
      <c r="S389" s="502"/>
      <c r="T389" s="537">
        <f>SUM(G389:R389)</f>
        <v>53471.267113756418</v>
      </c>
      <c r="U389" s="532" t="s">
        <v>194</v>
      </c>
      <c r="V389" s="586"/>
      <c r="W389" s="354"/>
      <c r="X389" s="222"/>
      <c r="Y389" s="222"/>
      <c r="Z389" s="355"/>
      <c r="AA389" s="355"/>
      <c r="AB389" s="355"/>
      <c r="AC389" s="355"/>
      <c r="AD389" s="355"/>
      <c r="AE389" s="355"/>
      <c r="AF389" s="355"/>
      <c r="AG389" s="355"/>
      <c r="AH389" s="355"/>
      <c r="AI389" s="355"/>
      <c r="AJ389" s="355"/>
      <c r="AK389" s="354"/>
      <c r="AL389" s="354"/>
      <c r="AM389" s="354"/>
      <c r="AN389" s="354"/>
    </row>
    <row r="390" spans="1:40" s="234" customFormat="1" ht="15" customHeight="1" x14ac:dyDescent="0.25">
      <c r="A390" s="354"/>
      <c r="B390" s="585"/>
      <c r="C390" s="499"/>
      <c r="D390" s="572"/>
      <c r="E390" s="313"/>
      <c r="F390" s="495" t="s">
        <v>189</v>
      </c>
      <c r="G390" s="501">
        <f t="shared" si="51"/>
        <v>379.46692895319927</v>
      </c>
      <c r="H390" s="501">
        <f t="shared" si="51"/>
        <v>0</v>
      </c>
      <c r="I390" s="501">
        <f t="shared" si="51"/>
        <v>0</v>
      </c>
      <c r="J390" s="501">
        <f t="shared" si="51"/>
        <v>102.18802829350405</v>
      </c>
      <c r="K390" s="501">
        <f t="shared" si="51"/>
        <v>214.16052574394598</v>
      </c>
      <c r="L390" s="501">
        <f t="shared" si="51"/>
        <v>376.65452092243748</v>
      </c>
      <c r="M390" s="501">
        <f t="shared" si="51"/>
        <v>226.70544943239204</v>
      </c>
      <c r="N390" s="501">
        <f t="shared" si="51"/>
        <v>0</v>
      </c>
      <c r="O390" s="501">
        <f t="shared" si="51"/>
        <v>0</v>
      </c>
      <c r="P390" s="501">
        <f t="shared" si="51"/>
        <v>147.49282717717014</v>
      </c>
      <c r="Q390" s="501">
        <f t="shared" si="51"/>
        <v>222.38670521177946</v>
      </c>
      <c r="R390" s="501">
        <f t="shared" si="51"/>
        <v>113.32058472411882</v>
      </c>
      <c r="S390" s="502"/>
      <c r="T390" s="388">
        <f>AVERAGE(G390:R390)</f>
        <v>148.53129753821227</v>
      </c>
      <c r="U390" s="533" t="s">
        <v>195</v>
      </c>
      <c r="V390" s="586"/>
      <c r="W390" s="354"/>
      <c r="X390" s="222"/>
      <c r="Y390" s="222"/>
      <c r="Z390" s="355"/>
      <c r="AA390" s="355"/>
      <c r="AB390" s="355"/>
      <c r="AC390" s="355"/>
      <c r="AD390" s="355"/>
      <c r="AE390" s="355"/>
      <c r="AF390" s="355"/>
      <c r="AG390" s="355"/>
      <c r="AH390" s="355"/>
      <c r="AI390" s="355"/>
      <c r="AJ390" s="355"/>
      <c r="AK390" s="354"/>
      <c r="AL390" s="354"/>
      <c r="AM390" s="354"/>
      <c r="AN390" s="354"/>
    </row>
    <row r="391" spans="1:40" s="234" customFormat="1" ht="15" customHeight="1" x14ac:dyDescent="0.25">
      <c r="A391" s="354"/>
      <c r="B391" s="585"/>
      <c r="C391" s="499"/>
      <c r="D391" s="967" t="str">
        <f>P369</f>
        <v>Seasonal livestock</v>
      </c>
      <c r="E391" s="1003"/>
      <c r="F391" s="359" t="s">
        <v>188</v>
      </c>
      <c r="G391" s="494">
        <f t="shared" ref="G391:R392" si="52">I247</f>
        <v>4163.5</v>
      </c>
      <c r="H391" s="494">
        <f t="shared" si="52"/>
        <v>0</v>
      </c>
      <c r="I391" s="494">
        <f t="shared" si="52"/>
        <v>0</v>
      </c>
      <c r="J391" s="494">
        <f t="shared" si="52"/>
        <v>0</v>
      </c>
      <c r="K391" s="494">
        <f t="shared" si="52"/>
        <v>0</v>
      </c>
      <c r="L391" s="494">
        <f t="shared" si="52"/>
        <v>0</v>
      </c>
      <c r="M391" s="494">
        <f t="shared" si="52"/>
        <v>0</v>
      </c>
      <c r="N391" s="494">
        <f t="shared" si="52"/>
        <v>0</v>
      </c>
      <c r="O391" s="494">
        <f t="shared" si="52"/>
        <v>4163.5</v>
      </c>
      <c r="P391" s="494">
        <f t="shared" si="52"/>
        <v>6661.6</v>
      </c>
      <c r="Q391" s="494">
        <f t="shared" si="52"/>
        <v>8327</v>
      </c>
      <c r="R391" s="494">
        <f t="shared" si="52"/>
        <v>6661.6</v>
      </c>
      <c r="S391" s="502"/>
      <c r="T391" s="538">
        <f>SUM(G391:R391)</f>
        <v>29977.199999999997</v>
      </c>
      <c r="U391" s="535" t="s">
        <v>194</v>
      </c>
      <c r="V391" s="586"/>
      <c r="W391" s="354"/>
      <c r="X391" s="574"/>
      <c r="Y391" s="574"/>
      <c r="Z391" s="355"/>
      <c r="AA391" s="355"/>
      <c r="AB391" s="355"/>
      <c r="AC391" s="355"/>
      <c r="AD391" s="355"/>
      <c r="AE391" s="355"/>
      <c r="AF391" s="355"/>
      <c r="AG391" s="355"/>
      <c r="AH391" s="355"/>
      <c r="AI391" s="355"/>
      <c r="AJ391" s="355"/>
      <c r="AK391" s="354"/>
      <c r="AL391" s="354"/>
      <c r="AM391" s="354"/>
      <c r="AN391" s="354"/>
    </row>
    <row r="392" spans="1:40" s="234" customFormat="1" ht="15" customHeight="1" x14ac:dyDescent="0.25">
      <c r="A392" s="354"/>
      <c r="B392" s="585"/>
      <c r="C392" s="499"/>
      <c r="D392" s="496"/>
      <c r="E392" s="571"/>
      <c r="F392" s="360" t="s">
        <v>189</v>
      </c>
      <c r="G392" s="381">
        <f t="shared" si="52"/>
        <v>138.78333333333333</v>
      </c>
      <c r="H392" s="381">
        <f t="shared" si="52"/>
        <v>0</v>
      </c>
      <c r="I392" s="381">
        <f t="shared" si="52"/>
        <v>0</v>
      </c>
      <c r="J392" s="381">
        <f t="shared" si="52"/>
        <v>0</v>
      </c>
      <c r="K392" s="381">
        <f t="shared" si="52"/>
        <v>0</v>
      </c>
      <c r="L392" s="381">
        <f t="shared" si="52"/>
        <v>0</v>
      </c>
      <c r="M392" s="381">
        <f t="shared" si="52"/>
        <v>0</v>
      </c>
      <c r="N392" s="381">
        <f t="shared" si="52"/>
        <v>0</v>
      </c>
      <c r="O392" s="381">
        <f t="shared" si="52"/>
        <v>138.78333333333333</v>
      </c>
      <c r="P392" s="381">
        <f t="shared" si="52"/>
        <v>222.05333333333334</v>
      </c>
      <c r="Q392" s="381">
        <f t="shared" si="52"/>
        <v>277.56666666666666</v>
      </c>
      <c r="R392" s="381">
        <f t="shared" si="52"/>
        <v>222.05333333333334</v>
      </c>
      <c r="S392" s="502"/>
      <c r="T392" s="388">
        <f>AVERAGE(G392:R392)</f>
        <v>83.27</v>
      </c>
      <c r="U392" s="533" t="s">
        <v>195</v>
      </c>
      <c r="V392" s="586"/>
      <c r="W392" s="354"/>
      <c r="X392" s="574"/>
      <c r="Y392" s="574"/>
      <c r="Z392" s="355"/>
      <c r="AA392" s="355"/>
      <c r="AB392" s="355"/>
      <c r="AC392" s="355"/>
      <c r="AD392" s="355"/>
      <c r="AE392" s="355"/>
      <c r="AF392" s="355"/>
      <c r="AG392" s="355"/>
      <c r="AH392" s="355"/>
      <c r="AI392" s="355"/>
      <c r="AJ392" s="355"/>
      <c r="AK392" s="354"/>
      <c r="AL392" s="354"/>
      <c r="AM392" s="354"/>
      <c r="AN392" s="354"/>
    </row>
    <row r="393" spans="1:40" s="234" customFormat="1" ht="15" customHeight="1" x14ac:dyDescent="0.25">
      <c r="A393" s="354"/>
      <c r="B393" s="585"/>
      <c r="C393" s="499"/>
      <c r="D393" s="967" t="str">
        <f>R369</f>
        <v>Wildlife</v>
      </c>
      <c r="E393" s="1003"/>
      <c r="F393" s="359" t="s">
        <v>188</v>
      </c>
      <c r="G393" s="494">
        <f>G394*30</f>
        <v>0</v>
      </c>
      <c r="H393" s="494">
        <f t="shared" ref="H393:R393" si="53">H394*30</f>
        <v>0</v>
      </c>
      <c r="I393" s="494">
        <f t="shared" si="53"/>
        <v>0</v>
      </c>
      <c r="J393" s="494">
        <f t="shared" si="53"/>
        <v>0</v>
      </c>
      <c r="K393" s="494">
        <f t="shared" si="53"/>
        <v>0</v>
      </c>
      <c r="L393" s="494">
        <f t="shared" si="53"/>
        <v>0</v>
      </c>
      <c r="M393" s="494">
        <f t="shared" si="53"/>
        <v>0</v>
      </c>
      <c r="N393" s="494">
        <f t="shared" si="53"/>
        <v>0</v>
      </c>
      <c r="O393" s="494">
        <f t="shared" si="53"/>
        <v>0</v>
      </c>
      <c r="P393" s="494">
        <f t="shared" si="53"/>
        <v>0</v>
      </c>
      <c r="Q393" s="494">
        <f t="shared" si="53"/>
        <v>0</v>
      </c>
      <c r="R393" s="494">
        <f t="shared" si="53"/>
        <v>0</v>
      </c>
      <c r="S393" s="502"/>
      <c r="T393" s="538">
        <f>SUM(G393:R393)</f>
        <v>0</v>
      </c>
      <c r="U393" s="535" t="s">
        <v>194</v>
      </c>
      <c r="V393" s="586"/>
      <c r="W393" s="354"/>
      <c r="X393" s="222"/>
      <c r="Y393" s="222"/>
      <c r="Z393" s="355"/>
      <c r="AA393" s="355"/>
      <c r="AB393" s="355"/>
      <c r="AC393" s="355"/>
      <c r="AD393" s="355"/>
      <c r="AE393" s="355"/>
      <c r="AF393" s="355"/>
      <c r="AG393" s="355"/>
      <c r="AH393" s="355"/>
      <c r="AI393" s="355"/>
      <c r="AJ393" s="355"/>
      <c r="AK393" s="354"/>
      <c r="AL393" s="354"/>
      <c r="AM393" s="354"/>
      <c r="AN393" s="354"/>
    </row>
    <row r="394" spans="1:40" s="234" customFormat="1" x14ac:dyDescent="0.25">
      <c r="A394" s="354"/>
      <c r="B394" s="585"/>
      <c r="C394" s="500"/>
      <c r="D394" s="496"/>
      <c r="E394" s="571"/>
      <c r="F394" s="360" t="s">
        <v>189</v>
      </c>
      <c r="G394" s="381">
        <f>$R$373</f>
        <v>0</v>
      </c>
      <c r="H394" s="381">
        <f t="shared" ref="H394:R394" si="54">$R$373</f>
        <v>0</v>
      </c>
      <c r="I394" s="381">
        <f t="shared" si="54"/>
        <v>0</v>
      </c>
      <c r="J394" s="381">
        <f t="shared" si="54"/>
        <v>0</v>
      </c>
      <c r="K394" s="381">
        <f t="shared" si="54"/>
        <v>0</v>
      </c>
      <c r="L394" s="381">
        <f t="shared" si="54"/>
        <v>0</v>
      </c>
      <c r="M394" s="381">
        <f t="shared" si="54"/>
        <v>0</v>
      </c>
      <c r="N394" s="381">
        <f t="shared" si="54"/>
        <v>0</v>
      </c>
      <c r="O394" s="381">
        <f t="shared" si="54"/>
        <v>0</v>
      </c>
      <c r="P394" s="381">
        <f t="shared" si="54"/>
        <v>0</v>
      </c>
      <c r="Q394" s="381">
        <f t="shared" si="54"/>
        <v>0</v>
      </c>
      <c r="R394" s="381">
        <f t="shared" si="54"/>
        <v>0</v>
      </c>
      <c r="S394" s="502"/>
      <c r="T394" s="388">
        <f>AVERAGE(G394:R394)</f>
        <v>0</v>
      </c>
      <c r="U394" s="533" t="s">
        <v>195</v>
      </c>
      <c r="V394" s="586"/>
      <c r="W394" s="354"/>
      <c r="X394" s="222"/>
      <c r="Y394" s="222"/>
      <c r="Z394" s="355"/>
      <c r="AA394" s="355"/>
      <c r="AB394" s="355"/>
      <c r="AC394" s="355"/>
      <c r="AD394" s="355"/>
      <c r="AE394" s="355"/>
      <c r="AF394" s="355"/>
      <c r="AG394" s="355"/>
      <c r="AH394" s="355"/>
      <c r="AI394" s="355"/>
      <c r="AJ394" s="355"/>
      <c r="AK394" s="354"/>
      <c r="AL394" s="354"/>
      <c r="AM394" s="354"/>
      <c r="AN394" s="354"/>
    </row>
    <row r="395" spans="1:40" s="234" customFormat="1" x14ac:dyDescent="0.25">
      <c r="A395" s="354"/>
      <c r="B395" s="585"/>
      <c r="C395" s="313"/>
      <c r="D395" s="572"/>
      <c r="E395" s="237"/>
      <c r="F395" s="213"/>
      <c r="G395" s="509"/>
      <c r="H395" s="509"/>
      <c r="I395" s="509"/>
      <c r="J395" s="509"/>
      <c r="K395" s="509"/>
      <c r="L395" s="509"/>
      <c r="M395" s="509"/>
      <c r="N395" s="509"/>
      <c r="O395" s="509"/>
      <c r="P395" s="509"/>
      <c r="Q395" s="509"/>
      <c r="R395" s="509"/>
      <c r="S395" s="502"/>
      <c r="T395" s="509"/>
      <c r="U395" s="502"/>
      <c r="V395" s="586"/>
      <c r="W395" s="354"/>
      <c r="X395" s="222"/>
      <c r="Y395" s="222"/>
      <c r="Z395" s="355"/>
      <c r="AA395" s="355"/>
      <c r="AB395" s="355"/>
      <c r="AC395" s="355"/>
      <c r="AD395" s="355"/>
      <c r="AE395" s="355"/>
      <c r="AF395" s="355"/>
      <c r="AG395" s="355"/>
      <c r="AH395" s="355"/>
      <c r="AI395" s="355"/>
      <c r="AJ395" s="355"/>
      <c r="AK395" s="354"/>
      <c r="AL395" s="354"/>
      <c r="AM395" s="354"/>
      <c r="AN395" s="354"/>
    </row>
    <row r="396" spans="1:40" s="234" customFormat="1" x14ac:dyDescent="0.25">
      <c r="A396" s="354"/>
      <c r="B396" s="585"/>
      <c r="C396" s="498">
        <f>F22</f>
        <v>2013</v>
      </c>
      <c r="D396" s="1008" t="s">
        <v>25</v>
      </c>
      <c r="E396" s="940"/>
      <c r="F396" s="503" t="s">
        <v>188</v>
      </c>
      <c r="G396" s="512">
        <f>G385+G387+G389+G393+G391</f>
        <v>33251.986551657974</v>
      </c>
      <c r="H396" s="512">
        <f t="shared" ref="H396:R396" si="55">H385+H387+H389+H393+H391</f>
        <v>17704.478683062</v>
      </c>
      <c r="I396" s="512">
        <f t="shared" si="55"/>
        <v>17704.478683062</v>
      </c>
      <c r="J396" s="512">
        <f t="shared" si="55"/>
        <v>20770.11953186712</v>
      </c>
      <c r="K396" s="512">
        <f t="shared" si="55"/>
        <v>24129.294455380379</v>
      </c>
      <c r="L396" s="512">
        <f t="shared" si="55"/>
        <v>29004.114310735124</v>
      </c>
      <c r="M396" s="512">
        <f t="shared" si="55"/>
        <v>24505.642166033762</v>
      </c>
      <c r="N396" s="512">
        <f t="shared" si="55"/>
        <v>17704.478683062</v>
      </c>
      <c r="O396" s="512">
        <f t="shared" si="55"/>
        <v>21867.978683062</v>
      </c>
      <c r="P396" s="512">
        <f t="shared" si="55"/>
        <v>28790.863498377104</v>
      </c>
      <c r="Q396" s="512">
        <f t="shared" si="55"/>
        <v>32703.079839415383</v>
      </c>
      <c r="R396" s="512">
        <f t="shared" si="55"/>
        <v>27765.696224785563</v>
      </c>
      <c r="S396" s="502"/>
      <c r="T396" s="530">
        <f>SUM(G396:R396)</f>
        <v>295902.21131050045</v>
      </c>
      <c r="U396" s="532" t="s">
        <v>194</v>
      </c>
      <c r="V396" s="586"/>
      <c r="W396" s="354"/>
      <c r="X396" s="222"/>
      <c r="Y396" s="222"/>
      <c r="Z396" s="355"/>
      <c r="AA396" s="355"/>
      <c r="AB396" s="355"/>
      <c r="AC396" s="355"/>
      <c r="AD396" s="355"/>
      <c r="AE396" s="355"/>
      <c r="AF396" s="355"/>
      <c r="AG396" s="355"/>
      <c r="AH396" s="355"/>
      <c r="AI396" s="355"/>
      <c r="AJ396" s="355"/>
      <c r="AK396" s="354"/>
      <c r="AL396" s="354"/>
      <c r="AM396" s="354"/>
      <c r="AN396" s="354"/>
    </row>
    <row r="397" spans="1:40" s="234" customFormat="1" x14ac:dyDescent="0.25">
      <c r="A397" s="354"/>
      <c r="B397" s="585"/>
      <c r="C397" s="500"/>
      <c r="D397" s="516"/>
      <c r="E397" s="514"/>
      <c r="F397" s="506" t="s">
        <v>189</v>
      </c>
      <c r="G397" s="515">
        <f>G386+G388+G390+G394+G392</f>
        <v>1108.3995517219325</v>
      </c>
      <c r="H397" s="515">
        <f t="shared" ref="H397:R397" si="56">H386+H388+H390+H394+H392</f>
        <v>590.14928943539996</v>
      </c>
      <c r="I397" s="515">
        <f t="shared" si="56"/>
        <v>590.14928943539996</v>
      </c>
      <c r="J397" s="515">
        <f t="shared" si="56"/>
        <v>692.33731772890405</v>
      </c>
      <c r="K397" s="515">
        <f t="shared" si="56"/>
        <v>804.30981517934595</v>
      </c>
      <c r="L397" s="515">
        <f t="shared" si="56"/>
        <v>966.80381035783739</v>
      </c>
      <c r="M397" s="515">
        <f t="shared" si="56"/>
        <v>816.85473886779198</v>
      </c>
      <c r="N397" s="515">
        <f t="shared" si="56"/>
        <v>590.14928943539996</v>
      </c>
      <c r="O397" s="515">
        <f t="shared" si="56"/>
        <v>728.93262276873327</v>
      </c>
      <c r="P397" s="515">
        <f t="shared" si="56"/>
        <v>959.69544994590342</v>
      </c>
      <c r="Q397" s="515">
        <f t="shared" si="56"/>
        <v>1090.1026613138461</v>
      </c>
      <c r="R397" s="515">
        <f t="shared" si="56"/>
        <v>925.52320749285218</v>
      </c>
      <c r="S397" s="502"/>
      <c r="T397" s="531">
        <f>AVERAGE(G397:R397)</f>
        <v>821.95058697361219</v>
      </c>
      <c r="U397" s="533" t="s">
        <v>195</v>
      </c>
      <c r="V397" s="586"/>
      <c r="W397" s="354"/>
      <c r="X397" s="222"/>
      <c r="Y397" s="222"/>
      <c r="Z397" s="355"/>
      <c r="AA397" s="355"/>
      <c r="AB397" s="355"/>
      <c r="AC397" s="355"/>
      <c r="AD397" s="355"/>
      <c r="AE397" s="355"/>
      <c r="AF397" s="355"/>
      <c r="AG397" s="355"/>
      <c r="AH397" s="355"/>
      <c r="AI397" s="355"/>
      <c r="AJ397" s="355"/>
      <c r="AK397" s="354"/>
      <c r="AL397" s="354"/>
      <c r="AM397" s="354"/>
      <c r="AN397" s="354"/>
    </row>
    <row r="398" spans="1:40" s="234" customFormat="1" x14ac:dyDescent="0.25">
      <c r="A398" s="354"/>
      <c r="B398" s="585"/>
      <c r="C398" s="313"/>
      <c r="D398" s="504"/>
      <c r="E398" s="505"/>
      <c r="F398" s="510"/>
      <c r="G398" s="511"/>
      <c r="H398" s="511"/>
      <c r="I398" s="511"/>
      <c r="J398" s="511"/>
      <c r="K398" s="511"/>
      <c r="L398" s="511"/>
      <c r="M398" s="511"/>
      <c r="N398" s="511"/>
      <c r="O398" s="511"/>
      <c r="P398" s="511"/>
      <c r="Q398" s="511"/>
      <c r="R398" s="511"/>
      <c r="S398" s="502"/>
      <c r="T398" s="511"/>
      <c r="U398" s="502"/>
      <c r="V398" s="586"/>
      <c r="W398" s="354"/>
      <c r="X398" s="222"/>
      <c r="Y398" s="222"/>
      <c r="Z398" s="355"/>
      <c r="AA398" s="355"/>
      <c r="AB398" s="355"/>
      <c r="AC398" s="355"/>
      <c r="AD398" s="355"/>
      <c r="AE398" s="355"/>
      <c r="AF398" s="355"/>
      <c r="AG398" s="355"/>
      <c r="AH398" s="355"/>
      <c r="AI398" s="355"/>
      <c r="AJ398" s="355"/>
      <c r="AK398" s="354"/>
      <c r="AL398" s="354"/>
      <c r="AM398" s="354"/>
      <c r="AN398" s="354"/>
    </row>
    <row r="399" spans="1:40" s="234" customFormat="1" ht="15" customHeight="1" x14ac:dyDescent="0.25">
      <c r="A399" s="354"/>
      <c r="B399" s="585"/>
      <c r="C399" s="498">
        <f>F24</f>
        <v>2023</v>
      </c>
      <c r="D399" s="968" t="str">
        <f>J369</f>
        <v>Basic domestic</v>
      </c>
      <c r="E399" s="1003"/>
      <c r="F399" s="359" t="s">
        <v>188</v>
      </c>
      <c r="G399" s="380">
        <f t="shared" ref="G399:R399" si="57">G400*30</f>
        <v>23793.338889915864</v>
      </c>
      <c r="H399" s="380">
        <f t="shared" si="57"/>
        <v>23793.338889915864</v>
      </c>
      <c r="I399" s="380">
        <f t="shared" si="57"/>
        <v>23793.338889915864</v>
      </c>
      <c r="J399" s="380">
        <f t="shared" si="57"/>
        <v>23793.338889915864</v>
      </c>
      <c r="K399" s="380">
        <f t="shared" si="57"/>
        <v>23793.338889915864</v>
      </c>
      <c r="L399" s="380">
        <f t="shared" si="57"/>
        <v>23793.338889915864</v>
      </c>
      <c r="M399" s="380">
        <f t="shared" si="57"/>
        <v>23793.338889915864</v>
      </c>
      <c r="N399" s="380">
        <f t="shared" si="57"/>
        <v>23793.338889915864</v>
      </c>
      <c r="O399" s="380">
        <f t="shared" si="57"/>
        <v>23793.338889915864</v>
      </c>
      <c r="P399" s="380">
        <f t="shared" si="57"/>
        <v>23793.338889915864</v>
      </c>
      <c r="Q399" s="380">
        <f t="shared" si="57"/>
        <v>23793.338889915864</v>
      </c>
      <c r="R399" s="380">
        <f t="shared" si="57"/>
        <v>23793.338889915864</v>
      </c>
      <c r="S399" s="502"/>
      <c r="T399" s="537">
        <f>SUM(G399:R399)</f>
        <v>285520.06667899044</v>
      </c>
      <c r="U399" s="532" t="s">
        <v>194</v>
      </c>
      <c r="V399" s="586"/>
      <c r="W399" s="354"/>
      <c r="X399" s="222"/>
      <c r="Y399" s="222"/>
      <c r="Z399" s="355"/>
      <c r="AA399" s="355"/>
      <c r="AB399" s="355"/>
      <c r="AC399" s="355"/>
      <c r="AD399" s="355"/>
      <c r="AE399" s="355"/>
      <c r="AF399" s="355"/>
      <c r="AG399" s="355"/>
      <c r="AH399" s="355"/>
      <c r="AI399" s="355"/>
      <c r="AJ399" s="355"/>
      <c r="AK399" s="354"/>
      <c r="AL399" s="354"/>
      <c r="AM399" s="354"/>
      <c r="AN399" s="354"/>
    </row>
    <row r="400" spans="1:40" s="234" customFormat="1" x14ac:dyDescent="0.25">
      <c r="A400" s="354"/>
      <c r="B400" s="585"/>
      <c r="C400" s="499"/>
      <c r="D400" s="572"/>
      <c r="E400" s="313"/>
      <c r="F400" s="495" t="s">
        <v>189</v>
      </c>
      <c r="G400" s="501">
        <f>$J$45</f>
        <v>793.11129633052883</v>
      </c>
      <c r="H400" s="501">
        <f t="shared" ref="H400:R400" si="58">$J$45</f>
        <v>793.11129633052883</v>
      </c>
      <c r="I400" s="501">
        <f t="shared" si="58"/>
        <v>793.11129633052883</v>
      </c>
      <c r="J400" s="501">
        <f t="shared" si="58"/>
        <v>793.11129633052883</v>
      </c>
      <c r="K400" s="501">
        <f t="shared" si="58"/>
        <v>793.11129633052883</v>
      </c>
      <c r="L400" s="501">
        <f t="shared" si="58"/>
        <v>793.11129633052883</v>
      </c>
      <c r="M400" s="501">
        <f t="shared" si="58"/>
        <v>793.11129633052883</v>
      </c>
      <c r="N400" s="501">
        <f t="shared" si="58"/>
        <v>793.11129633052883</v>
      </c>
      <c r="O400" s="501">
        <f t="shared" si="58"/>
        <v>793.11129633052883</v>
      </c>
      <c r="P400" s="501">
        <f t="shared" si="58"/>
        <v>793.11129633052883</v>
      </c>
      <c r="Q400" s="501">
        <f t="shared" si="58"/>
        <v>793.11129633052883</v>
      </c>
      <c r="R400" s="501">
        <f t="shared" si="58"/>
        <v>793.11129633052883</v>
      </c>
      <c r="S400" s="502"/>
      <c r="T400" s="538">
        <f>AVERAGE(G400:R400)</f>
        <v>793.11129633052872</v>
      </c>
      <c r="U400" s="535" t="s">
        <v>195</v>
      </c>
      <c r="V400" s="586"/>
      <c r="W400" s="354"/>
      <c r="X400" s="222"/>
      <c r="Y400" s="222"/>
      <c r="Z400" s="355"/>
      <c r="AA400" s="355"/>
      <c r="AB400" s="355"/>
      <c r="AC400" s="355"/>
      <c r="AD400" s="355"/>
      <c r="AE400" s="355"/>
      <c r="AF400" s="355"/>
      <c r="AG400" s="355"/>
      <c r="AH400" s="355"/>
      <c r="AI400" s="355"/>
      <c r="AJ400" s="355"/>
      <c r="AK400" s="354"/>
      <c r="AL400" s="354"/>
      <c r="AM400" s="354"/>
      <c r="AN400" s="354"/>
    </row>
    <row r="401" spans="1:40" s="234" customFormat="1" x14ac:dyDescent="0.25">
      <c r="A401" s="354"/>
      <c r="B401" s="585"/>
      <c r="C401" s="499"/>
      <c r="D401" s="968" t="str">
        <f>L369</f>
        <v>Livestock</v>
      </c>
      <c r="E401" s="1003"/>
      <c r="F401" s="359" t="s">
        <v>188</v>
      </c>
      <c r="G401" s="380">
        <f t="shared" ref="G401:R401" si="59">G402*30</f>
        <v>0</v>
      </c>
      <c r="H401" s="380">
        <f t="shared" si="59"/>
        <v>0</v>
      </c>
      <c r="I401" s="380">
        <f t="shared" si="59"/>
        <v>0</v>
      </c>
      <c r="J401" s="380">
        <f t="shared" si="59"/>
        <v>0</v>
      </c>
      <c r="K401" s="380">
        <f t="shared" si="59"/>
        <v>0</v>
      </c>
      <c r="L401" s="380">
        <f t="shared" si="59"/>
        <v>0</v>
      </c>
      <c r="M401" s="380">
        <f t="shared" si="59"/>
        <v>0</v>
      </c>
      <c r="N401" s="380">
        <f t="shared" si="59"/>
        <v>0</v>
      </c>
      <c r="O401" s="380">
        <f t="shared" si="59"/>
        <v>0</v>
      </c>
      <c r="P401" s="380">
        <f t="shared" si="59"/>
        <v>0</v>
      </c>
      <c r="Q401" s="380">
        <f t="shared" si="59"/>
        <v>0</v>
      </c>
      <c r="R401" s="380">
        <f t="shared" si="59"/>
        <v>0</v>
      </c>
      <c r="S401" s="502"/>
      <c r="T401" s="537">
        <f>SUM(G401:R401)</f>
        <v>0</v>
      </c>
      <c r="U401" s="532" t="s">
        <v>194</v>
      </c>
      <c r="V401" s="586"/>
      <c r="W401" s="354"/>
      <c r="X401" s="222"/>
      <c r="Y401" s="222"/>
      <c r="Z401" s="355"/>
      <c r="AA401" s="355"/>
      <c r="AB401" s="355"/>
      <c r="AC401" s="355"/>
      <c r="AD401" s="355"/>
      <c r="AE401" s="355"/>
      <c r="AF401" s="355"/>
      <c r="AG401" s="355"/>
      <c r="AH401" s="355"/>
      <c r="AI401" s="355"/>
      <c r="AJ401" s="355"/>
      <c r="AK401" s="354"/>
      <c r="AL401" s="354"/>
      <c r="AM401" s="354"/>
      <c r="AN401" s="354"/>
    </row>
    <row r="402" spans="1:40" s="234" customFormat="1" ht="15" customHeight="1" x14ac:dyDescent="0.25">
      <c r="A402" s="354"/>
      <c r="B402" s="585"/>
      <c r="C402" s="499"/>
      <c r="D402" s="1004" t="str">
        <f>L371</f>
        <v>CENSUS Data</v>
      </c>
      <c r="E402" s="1005"/>
      <c r="F402" s="495" t="s">
        <v>189</v>
      </c>
      <c r="G402" s="501">
        <f>$J$103</f>
        <v>0</v>
      </c>
      <c r="H402" s="501">
        <f t="shared" ref="H402:R402" si="60">$J$103</f>
        <v>0</v>
      </c>
      <c r="I402" s="501">
        <f t="shared" si="60"/>
        <v>0</v>
      </c>
      <c r="J402" s="501">
        <f t="shared" si="60"/>
        <v>0</v>
      </c>
      <c r="K402" s="501">
        <f t="shared" si="60"/>
        <v>0</v>
      </c>
      <c r="L402" s="501">
        <f t="shared" si="60"/>
        <v>0</v>
      </c>
      <c r="M402" s="501">
        <f t="shared" si="60"/>
        <v>0</v>
      </c>
      <c r="N402" s="501">
        <f t="shared" si="60"/>
        <v>0</v>
      </c>
      <c r="O402" s="501">
        <f t="shared" si="60"/>
        <v>0</v>
      </c>
      <c r="P402" s="501">
        <f t="shared" si="60"/>
        <v>0</v>
      </c>
      <c r="Q402" s="501">
        <f t="shared" si="60"/>
        <v>0</v>
      </c>
      <c r="R402" s="501">
        <f t="shared" si="60"/>
        <v>0</v>
      </c>
      <c r="S402" s="502"/>
      <c r="T402" s="388">
        <f>AVERAGE(G402:R402)</f>
        <v>0</v>
      </c>
      <c r="U402" s="533" t="s">
        <v>195</v>
      </c>
      <c r="V402" s="586"/>
      <c r="W402" s="354"/>
      <c r="X402" s="222"/>
      <c r="Y402" s="222"/>
      <c r="Z402" s="355"/>
      <c r="AA402" s="355"/>
      <c r="AB402" s="355"/>
      <c r="AC402" s="355"/>
      <c r="AD402" s="355"/>
      <c r="AE402" s="355"/>
      <c r="AF402" s="355"/>
      <c r="AG402" s="355"/>
      <c r="AH402" s="355"/>
      <c r="AI402" s="355"/>
      <c r="AJ402" s="355"/>
      <c r="AK402" s="354"/>
      <c r="AL402" s="354"/>
      <c r="AM402" s="354"/>
      <c r="AN402" s="354"/>
    </row>
    <row r="403" spans="1:40" s="234" customFormat="1" ht="15" customHeight="1" x14ac:dyDescent="0.25">
      <c r="A403" s="354"/>
      <c r="B403" s="585"/>
      <c r="C403" s="499"/>
      <c r="D403" s="968" t="str">
        <f>N369</f>
        <v>Agriculture</v>
      </c>
      <c r="E403" s="1003"/>
      <c r="F403" s="359" t="s">
        <v>188</v>
      </c>
      <c r="G403" s="380">
        <f t="shared" ref="G403:R404" si="61">I194</f>
        <v>15299.1546371885</v>
      </c>
      <c r="H403" s="380">
        <f t="shared" si="61"/>
        <v>0</v>
      </c>
      <c r="I403" s="380">
        <f t="shared" si="61"/>
        <v>0</v>
      </c>
      <c r="J403" s="380">
        <f t="shared" si="61"/>
        <v>4119.9649498956196</v>
      </c>
      <c r="K403" s="380">
        <f t="shared" si="61"/>
        <v>8634.415150687124</v>
      </c>
      <c r="L403" s="380">
        <f t="shared" si="61"/>
        <v>15185.765400650307</v>
      </c>
      <c r="M403" s="380">
        <f t="shared" si="61"/>
        <v>9140.1950033628655</v>
      </c>
      <c r="N403" s="380">
        <f t="shared" si="61"/>
        <v>0</v>
      </c>
      <c r="O403" s="380">
        <f t="shared" si="61"/>
        <v>0</v>
      </c>
      <c r="P403" s="380">
        <f t="shared" si="61"/>
        <v>5946.5407883751241</v>
      </c>
      <c r="Q403" s="380">
        <f t="shared" si="61"/>
        <v>8966.0740704744967</v>
      </c>
      <c r="R403" s="380">
        <f t="shared" si="61"/>
        <v>4568.8016978278965</v>
      </c>
      <c r="S403" s="502"/>
      <c r="T403" s="537">
        <f>SUM(G403:R403)</f>
        <v>71860.911698461932</v>
      </c>
      <c r="U403" s="532" t="s">
        <v>194</v>
      </c>
      <c r="V403" s="586"/>
      <c r="W403" s="354"/>
      <c r="X403" s="222"/>
      <c r="Y403" s="222"/>
      <c r="Z403" s="355"/>
      <c r="AA403" s="355"/>
      <c r="AB403" s="355"/>
      <c r="AC403" s="355"/>
      <c r="AD403" s="355"/>
      <c r="AE403" s="355"/>
      <c r="AF403" s="355"/>
      <c r="AG403" s="355"/>
      <c r="AH403" s="355"/>
      <c r="AI403" s="355"/>
      <c r="AJ403" s="355"/>
      <c r="AK403" s="354"/>
      <c r="AL403" s="354"/>
      <c r="AM403" s="354"/>
      <c r="AN403" s="354"/>
    </row>
    <row r="404" spans="1:40" s="234" customFormat="1" x14ac:dyDescent="0.25">
      <c r="A404" s="354"/>
      <c r="B404" s="585"/>
      <c r="C404" s="499"/>
      <c r="D404" s="572"/>
      <c r="E404" s="313"/>
      <c r="F404" s="495" t="s">
        <v>189</v>
      </c>
      <c r="G404" s="501">
        <f t="shared" si="61"/>
        <v>509.97182123961665</v>
      </c>
      <c r="H404" s="501">
        <f t="shared" si="61"/>
        <v>0</v>
      </c>
      <c r="I404" s="501">
        <f t="shared" si="61"/>
        <v>0</v>
      </c>
      <c r="J404" s="501">
        <f t="shared" si="61"/>
        <v>137.33216499652065</v>
      </c>
      <c r="K404" s="501">
        <f t="shared" si="61"/>
        <v>287.81383835623745</v>
      </c>
      <c r="L404" s="501">
        <f t="shared" si="61"/>
        <v>506.1921800216769</v>
      </c>
      <c r="M404" s="501">
        <f t="shared" si="61"/>
        <v>304.67316677876221</v>
      </c>
      <c r="N404" s="501">
        <f t="shared" si="61"/>
        <v>0</v>
      </c>
      <c r="O404" s="501">
        <f t="shared" si="61"/>
        <v>0</v>
      </c>
      <c r="P404" s="501">
        <f t="shared" si="61"/>
        <v>198.2180262791708</v>
      </c>
      <c r="Q404" s="501">
        <f t="shared" si="61"/>
        <v>298.8691356824832</v>
      </c>
      <c r="R404" s="501">
        <f t="shared" si="61"/>
        <v>152.29338992759656</v>
      </c>
      <c r="S404" s="502"/>
      <c r="T404" s="388">
        <f>AVERAGE(G404:R404)</f>
        <v>199.61364360683874</v>
      </c>
      <c r="U404" s="533" t="s">
        <v>195</v>
      </c>
      <c r="V404" s="586"/>
      <c r="W404" s="354"/>
      <c r="X404" s="222"/>
      <c r="Y404" s="222"/>
      <c r="Z404" s="355"/>
      <c r="AA404" s="355"/>
      <c r="AB404" s="355"/>
      <c r="AC404" s="355"/>
      <c r="AD404" s="355"/>
      <c r="AE404" s="355"/>
      <c r="AF404" s="355"/>
      <c r="AG404" s="355"/>
      <c r="AH404" s="355"/>
      <c r="AI404" s="355"/>
      <c r="AJ404" s="355"/>
      <c r="AK404" s="354"/>
      <c r="AL404" s="354"/>
      <c r="AM404" s="354"/>
      <c r="AN404" s="354"/>
    </row>
    <row r="405" spans="1:40" s="234" customFormat="1" x14ac:dyDescent="0.25">
      <c r="A405" s="354"/>
      <c r="B405" s="585"/>
      <c r="C405" s="499"/>
      <c r="D405" s="967" t="str">
        <f>P369</f>
        <v>Seasonal livestock</v>
      </c>
      <c r="E405" s="1003"/>
      <c r="F405" s="359" t="s">
        <v>188</v>
      </c>
      <c r="G405" s="494">
        <f t="shared" ref="G405:R406" si="62">I249</f>
        <v>5595.3958453992509</v>
      </c>
      <c r="H405" s="494">
        <f t="shared" si="62"/>
        <v>0</v>
      </c>
      <c r="I405" s="494">
        <f t="shared" si="62"/>
        <v>0</v>
      </c>
      <c r="J405" s="494">
        <f t="shared" si="62"/>
        <v>0</v>
      </c>
      <c r="K405" s="494">
        <f t="shared" si="62"/>
        <v>0</v>
      </c>
      <c r="L405" s="494">
        <f t="shared" si="62"/>
        <v>0</v>
      </c>
      <c r="M405" s="494">
        <f t="shared" si="62"/>
        <v>0</v>
      </c>
      <c r="N405" s="494">
        <f t="shared" si="62"/>
        <v>0</v>
      </c>
      <c r="O405" s="494">
        <f t="shared" si="62"/>
        <v>5595.3958453992509</v>
      </c>
      <c r="P405" s="494">
        <f t="shared" si="62"/>
        <v>8952.6333526388025</v>
      </c>
      <c r="Q405" s="494">
        <f t="shared" si="62"/>
        <v>11190.791690798502</v>
      </c>
      <c r="R405" s="494">
        <f t="shared" si="62"/>
        <v>8952.6333526388025</v>
      </c>
      <c r="S405" s="502"/>
      <c r="T405" s="538">
        <f>SUM(G405:R405)</f>
        <v>40286.850086874605</v>
      </c>
      <c r="U405" s="535" t="s">
        <v>194</v>
      </c>
      <c r="V405" s="586"/>
      <c r="W405" s="354"/>
      <c r="X405" s="574"/>
      <c r="Y405" s="574"/>
      <c r="Z405" s="355"/>
      <c r="AA405" s="355"/>
      <c r="AB405" s="355"/>
      <c r="AC405" s="355"/>
      <c r="AD405" s="355"/>
      <c r="AE405" s="355"/>
      <c r="AF405" s="355"/>
      <c r="AG405" s="355"/>
      <c r="AH405" s="355"/>
      <c r="AI405" s="355"/>
      <c r="AJ405" s="355"/>
      <c r="AK405" s="354"/>
      <c r="AL405" s="354"/>
      <c r="AM405" s="354"/>
      <c r="AN405" s="354"/>
    </row>
    <row r="406" spans="1:40" s="234" customFormat="1" x14ac:dyDescent="0.25">
      <c r="A406" s="354"/>
      <c r="B406" s="585"/>
      <c r="C406" s="499"/>
      <c r="D406" s="496"/>
      <c r="E406" s="571"/>
      <c r="F406" s="360" t="s">
        <v>189</v>
      </c>
      <c r="G406" s="494">
        <f t="shared" si="62"/>
        <v>186.51319484664171</v>
      </c>
      <c r="H406" s="494">
        <f t="shared" si="62"/>
        <v>0</v>
      </c>
      <c r="I406" s="494">
        <f t="shared" si="62"/>
        <v>0</v>
      </c>
      <c r="J406" s="494">
        <f t="shared" si="62"/>
        <v>0</v>
      </c>
      <c r="K406" s="494">
        <f t="shared" si="62"/>
        <v>0</v>
      </c>
      <c r="L406" s="494">
        <f t="shared" si="62"/>
        <v>0</v>
      </c>
      <c r="M406" s="494">
        <f t="shared" si="62"/>
        <v>0</v>
      </c>
      <c r="N406" s="494">
        <f t="shared" si="62"/>
        <v>0</v>
      </c>
      <c r="O406" s="494">
        <f t="shared" si="62"/>
        <v>186.51319484664171</v>
      </c>
      <c r="P406" s="494">
        <f t="shared" si="62"/>
        <v>298.42111175462674</v>
      </c>
      <c r="Q406" s="494">
        <f t="shared" si="62"/>
        <v>373.02638969328342</v>
      </c>
      <c r="R406" s="494">
        <f t="shared" si="62"/>
        <v>298.42111175462674</v>
      </c>
      <c r="S406" s="502"/>
      <c r="T406" s="388">
        <f>AVERAGE(G406:R406)</f>
        <v>111.90791690798501</v>
      </c>
      <c r="U406" s="533" t="s">
        <v>195</v>
      </c>
      <c r="V406" s="586"/>
      <c r="W406" s="354"/>
      <c r="X406" s="574"/>
      <c r="Y406" s="574"/>
      <c r="Z406" s="355"/>
      <c r="AA406" s="355"/>
      <c r="AB406" s="355"/>
      <c r="AC406" s="355"/>
      <c r="AD406" s="355"/>
      <c r="AE406" s="355"/>
      <c r="AF406" s="355"/>
      <c r="AG406" s="355"/>
      <c r="AH406" s="355"/>
      <c r="AI406" s="355"/>
      <c r="AJ406" s="355"/>
      <c r="AK406" s="354"/>
      <c r="AL406" s="354"/>
      <c r="AM406" s="354"/>
      <c r="AN406" s="354"/>
    </row>
    <row r="407" spans="1:40" s="234" customFormat="1" ht="15" customHeight="1" x14ac:dyDescent="0.25">
      <c r="A407" s="354"/>
      <c r="B407" s="585"/>
      <c r="C407" s="499"/>
      <c r="D407" s="967" t="str">
        <f>R369</f>
        <v>Wildlife</v>
      </c>
      <c r="E407" s="1003"/>
      <c r="F407" s="359" t="s">
        <v>188</v>
      </c>
      <c r="G407" s="380">
        <f>G408*30</f>
        <v>0</v>
      </c>
      <c r="H407" s="380">
        <f t="shared" ref="H407:R407" si="63">H408*30</f>
        <v>0</v>
      </c>
      <c r="I407" s="380">
        <f t="shared" si="63"/>
        <v>0</v>
      </c>
      <c r="J407" s="380">
        <f t="shared" si="63"/>
        <v>0</v>
      </c>
      <c r="K407" s="380">
        <f t="shared" si="63"/>
        <v>0</v>
      </c>
      <c r="L407" s="380">
        <f t="shared" si="63"/>
        <v>0</v>
      </c>
      <c r="M407" s="380">
        <f t="shared" si="63"/>
        <v>0</v>
      </c>
      <c r="N407" s="380">
        <f t="shared" si="63"/>
        <v>0</v>
      </c>
      <c r="O407" s="380">
        <f t="shared" si="63"/>
        <v>0</v>
      </c>
      <c r="P407" s="380">
        <f t="shared" si="63"/>
        <v>0</v>
      </c>
      <c r="Q407" s="380">
        <f t="shared" si="63"/>
        <v>0</v>
      </c>
      <c r="R407" s="380">
        <f t="shared" si="63"/>
        <v>0</v>
      </c>
      <c r="S407" s="502"/>
      <c r="T407" s="538">
        <f>SUM(G407:R407)</f>
        <v>0</v>
      </c>
      <c r="U407" s="535" t="s">
        <v>194</v>
      </c>
      <c r="V407" s="586"/>
      <c r="W407" s="354"/>
      <c r="X407" s="222"/>
      <c r="Y407" s="222"/>
      <c r="Z407" s="355"/>
      <c r="AA407" s="355"/>
      <c r="AB407" s="355"/>
      <c r="AC407" s="355"/>
      <c r="AD407" s="355"/>
      <c r="AE407" s="355"/>
      <c r="AF407" s="355"/>
      <c r="AG407" s="355"/>
      <c r="AH407" s="355"/>
      <c r="AI407" s="355"/>
      <c r="AJ407" s="355"/>
      <c r="AK407" s="354"/>
      <c r="AL407" s="354"/>
      <c r="AM407" s="354"/>
      <c r="AN407" s="354"/>
    </row>
    <row r="408" spans="1:40" customFormat="1" x14ac:dyDescent="0.25">
      <c r="A408" s="8"/>
      <c r="B408" s="13"/>
      <c r="C408" s="500"/>
      <c r="D408" s="496"/>
      <c r="E408" s="571"/>
      <c r="F408" s="360" t="s">
        <v>189</v>
      </c>
      <c r="G408" s="381">
        <f>$R$375</f>
        <v>0</v>
      </c>
      <c r="H408" s="381">
        <f t="shared" ref="H408:R408" si="64">$R$375</f>
        <v>0</v>
      </c>
      <c r="I408" s="381">
        <f t="shared" si="64"/>
        <v>0</v>
      </c>
      <c r="J408" s="381">
        <f t="shared" si="64"/>
        <v>0</v>
      </c>
      <c r="K408" s="381">
        <f t="shared" si="64"/>
        <v>0</v>
      </c>
      <c r="L408" s="381">
        <f t="shared" si="64"/>
        <v>0</v>
      </c>
      <c r="M408" s="381">
        <f t="shared" si="64"/>
        <v>0</v>
      </c>
      <c r="N408" s="381">
        <f t="shared" si="64"/>
        <v>0</v>
      </c>
      <c r="O408" s="381">
        <f t="shared" si="64"/>
        <v>0</v>
      </c>
      <c r="P408" s="381">
        <f t="shared" si="64"/>
        <v>0</v>
      </c>
      <c r="Q408" s="381">
        <f t="shared" si="64"/>
        <v>0</v>
      </c>
      <c r="R408" s="381">
        <f t="shared" si="64"/>
        <v>0</v>
      </c>
      <c r="S408" s="502"/>
      <c r="T408" s="388">
        <f>AVERAGE(G408:R408)</f>
        <v>0</v>
      </c>
      <c r="U408" s="533" t="s">
        <v>195</v>
      </c>
      <c r="V408" s="18"/>
      <c r="W408" s="8"/>
      <c r="X408" s="222"/>
      <c r="Y408" s="222"/>
      <c r="Z408" s="355"/>
      <c r="AA408" s="355"/>
      <c r="AB408" s="355"/>
      <c r="AC408" s="355"/>
      <c r="AD408" s="355"/>
      <c r="AE408" s="355"/>
      <c r="AF408" s="355"/>
      <c r="AG408" s="355"/>
      <c r="AH408" s="355"/>
      <c r="AI408" s="355"/>
      <c r="AJ408" s="355"/>
      <c r="AK408" s="354"/>
      <c r="AL408" s="354"/>
      <c r="AM408" s="354"/>
      <c r="AN408" s="354"/>
    </row>
    <row r="409" spans="1:40" customFormat="1" x14ac:dyDescent="0.25">
      <c r="A409" s="8"/>
      <c r="B409" s="13"/>
      <c r="C409" s="313"/>
      <c r="D409" s="572"/>
      <c r="E409" s="237"/>
      <c r="F409" s="213"/>
      <c r="G409" s="509"/>
      <c r="H409" s="509"/>
      <c r="I409" s="509"/>
      <c r="J409" s="509"/>
      <c r="K409" s="509"/>
      <c r="L409" s="509"/>
      <c r="M409" s="509"/>
      <c r="N409" s="509"/>
      <c r="O409" s="509"/>
      <c r="P409" s="509"/>
      <c r="Q409" s="509"/>
      <c r="R409" s="509"/>
      <c r="S409" s="502"/>
      <c r="T409" s="509"/>
      <c r="U409" s="502"/>
      <c r="V409" s="18"/>
      <c r="W409" s="8"/>
      <c r="X409" s="222"/>
      <c r="Y409" s="222"/>
      <c r="Z409" s="355"/>
      <c r="AA409" s="355"/>
      <c r="AB409" s="355"/>
      <c r="AC409" s="355"/>
      <c r="AD409" s="355"/>
      <c r="AE409" s="355"/>
      <c r="AF409" s="355"/>
      <c r="AG409" s="355"/>
      <c r="AH409" s="355"/>
      <c r="AI409" s="355"/>
      <c r="AJ409" s="355"/>
      <c r="AK409" s="354"/>
      <c r="AL409" s="354"/>
      <c r="AM409" s="354"/>
      <c r="AN409" s="354"/>
    </row>
    <row r="410" spans="1:40" customFormat="1" x14ac:dyDescent="0.25">
      <c r="A410" s="8"/>
      <c r="B410" s="13"/>
      <c r="C410" s="498">
        <f>F24</f>
        <v>2023</v>
      </c>
      <c r="D410" s="1007" t="s">
        <v>25</v>
      </c>
      <c r="E410" s="940"/>
      <c r="F410" s="503" t="s">
        <v>188</v>
      </c>
      <c r="G410" s="507">
        <f>G399+G401+G403+G407+G405</f>
        <v>44687.889372503618</v>
      </c>
      <c r="H410" s="507">
        <f t="shared" ref="H410:R410" si="65">H399+H401+H403+H407+H405</f>
        <v>23793.338889915864</v>
      </c>
      <c r="I410" s="507">
        <f t="shared" si="65"/>
        <v>23793.338889915864</v>
      </c>
      <c r="J410" s="507">
        <f t="shared" si="65"/>
        <v>27913.303839811484</v>
      </c>
      <c r="K410" s="507">
        <f t="shared" si="65"/>
        <v>32427.754040602988</v>
      </c>
      <c r="L410" s="507">
        <f t="shared" si="65"/>
        <v>38979.104290566174</v>
      </c>
      <c r="M410" s="507">
        <f t="shared" si="65"/>
        <v>32933.533893278727</v>
      </c>
      <c r="N410" s="507">
        <f t="shared" si="65"/>
        <v>23793.338889915864</v>
      </c>
      <c r="O410" s="507">
        <f t="shared" si="65"/>
        <v>29388.734735315113</v>
      </c>
      <c r="P410" s="507">
        <f t="shared" si="65"/>
        <v>38692.513030929789</v>
      </c>
      <c r="Q410" s="507">
        <f t="shared" si="65"/>
        <v>43950.204651188862</v>
      </c>
      <c r="R410" s="507">
        <f t="shared" si="65"/>
        <v>37314.773940382562</v>
      </c>
      <c r="S410" s="502"/>
      <c r="T410" s="530">
        <f>SUM(G410:R410)</f>
        <v>397667.82846432691</v>
      </c>
      <c r="U410" s="532" t="s">
        <v>194</v>
      </c>
      <c r="V410" s="18"/>
      <c r="W410" s="8"/>
      <c r="X410" s="222"/>
      <c r="Y410" s="222"/>
      <c r="Z410" s="355"/>
      <c r="AA410" s="355"/>
      <c r="AB410" s="355"/>
      <c r="AC410" s="355"/>
      <c r="AD410" s="355"/>
      <c r="AE410" s="355"/>
      <c r="AF410" s="355"/>
      <c r="AG410" s="355"/>
      <c r="AH410" s="355"/>
      <c r="AI410" s="355"/>
      <c r="AJ410" s="355"/>
      <c r="AK410" s="354"/>
      <c r="AL410" s="354"/>
      <c r="AM410" s="354"/>
      <c r="AN410" s="354"/>
    </row>
    <row r="411" spans="1:40" customFormat="1" x14ac:dyDescent="0.25">
      <c r="A411" s="8"/>
      <c r="B411" s="13"/>
      <c r="C411" s="500"/>
      <c r="D411" s="513"/>
      <c r="E411" s="514"/>
      <c r="F411" s="506" t="s">
        <v>189</v>
      </c>
      <c r="G411" s="508">
        <f>G400+G402+G404+G408+G406</f>
        <v>1489.5963124167872</v>
      </c>
      <c r="H411" s="508">
        <f t="shared" ref="H411:R411" si="66">H400+H402+H404+H408+H406</f>
        <v>793.11129633052883</v>
      </c>
      <c r="I411" s="508">
        <f t="shared" si="66"/>
        <v>793.11129633052883</v>
      </c>
      <c r="J411" s="508">
        <f t="shared" si="66"/>
        <v>930.44346132704948</v>
      </c>
      <c r="K411" s="508">
        <f t="shared" si="66"/>
        <v>1080.9251346867663</v>
      </c>
      <c r="L411" s="508">
        <f t="shared" si="66"/>
        <v>1299.3034763522057</v>
      </c>
      <c r="M411" s="508">
        <f t="shared" si="66"/>
        <v>1097.784463109291</v>
      </c>
      <c r="N411" s="508">
        <f t="shared" si="66"/>
        <v>793.11129633052883</v>
      </c>
      <c r="O411" s="508">
        <f t="shared" si="66"/>
        <v>979.62449117717051</v>
      </c>
      <c r="P411" s="508">
        <f t="shared" si="66"/>
        <v>1289.7504343643263</v>
      </c>
      <c r="Q411" s="508">
        <f t="shared" si="66"/>
        <v>1465.0068217062953</v>
      </c>
      <c r="R411" s="508">
        <f t="shared" si="66"/>
        <v>1243.8257980127521</v>
      </c>
      <c r="S411" s="502"/>
      <c r="T411" s="531">
        <f>AVERAGE(G411:R411)</f>
        <v>1104.6328568453528</v>
      </c>
      <c r="U411" s="533" t="s">
        <v>195</v>
      </c>
      <c r="V411" s="18"/>
      <c r="W411" s="8"/>
      <c r="X411" s="222"/>
      <c r="Y411" s="222"/>
      <c r="Z411" s="355"/>
      <c r="AA411" s="355"/>
      <c r="AB411" s="355"/>
      <c r="AC411" s="355"/>
      <c r="AD411" s="355"/>
      <c r="AE411" s="355"/>
      <c r="AF411" s="355"/>
      <c r="AG411" s="355"/>
      <c r="AH411" s="355"/>
      <c r="AI411" s="355"/>
      <c r="AJ411" s="355"/>
      <c r="AK411" s="354"/>
      <c r="AL411" s="354"/>
      <c r="AM411" s="354"/>
      <c r="AN411" s="354"/>
    </row>
    <row r="412" spans="1:40" s="3" customFormat="1" x14ac:dyDescent="0.25">
      <c r="A412" s="40"/>
      <c r="B412" s="13"/>
      <c r="C412" s="313"/>
      <c r="D412" s="504"/>
      <c r="E412" s="505"/>
      <c r="F412" s="510"/>
      <c r="G412" s="511"/>
      <c r="H412" s="511"/>
      <c r="I412" s="511"/>
      <c r="J412" s="511"/>
      <c r="K412" s="511"/>
      <c r="L412" s="511"/>
      <c r="M412" s="511"/>
      <c r="N412" s="511"/>
      <c r="O412" s="511"/>
      <c r="P412" s="511"/>
      <c r="Q412" s="511"/>
      <c r="R412" s="511"/>
      <c r="S412" s="502"/>
      <c r="T412" s="511"/>
      <c r="U412" s="502"/>
      <c r="V412" s="18"/>
      <c r="W412" s="40"/>
      <c r="X412" s="222"/>
      <c r="Y412" s="222"/>
      <c r="Z412" s="355"/>
      <c r="AA412" s="355"/>
      <c r="AB412" s="355"/>
      <c r="AC412" s="355"/>
      <c r="AD412" s="355"/>
      <c r="AE412" s="355"/>
      <c r="AF412" s="355"/>
      <c r="AG412" s="355"/>
      <c r="AH412" s="355"/>
      <c r="AI412" s="355"/>
      <c r="AJ412" s="355"/>
      <c r="AK412" s="355"/>
      <c r="AL412" s="355"/>
      <c r="AM412" s="355"/>
      <c r="AN412" s="355"/>
    </row>
    <row r="413" spans="1:40" customFormat="1" x14ac:dyDescent="0.25">
      <c r="A413" s="8"/>
      <c r="B413" s="13"/>
      <c r="C413" s="498">
        <f>F26</f>
        <v>2033</v>
      </c>
      <c r="D413" s="968" t="str">
        <f>J369</f>
        <v>Basic domestic</v>
      </c>
      <c r="E413" s="1003"/>
      <c r="F413" s="359" t="s">
        <v>188</v>
      </c>
      <c r="G413" s="380">
        <f t="shared" ref="G413:R413" si="67">G414*30</f>
        <v>31976.257853443414</v>
      </c>
      <c r="H413" s="380">
        <f t="shared" si="67"/>
        <v>31976.257853443414</v>
      </c>
      <c r="I413" s="380">
        <f t="shared" si="67"/>
        <v>31976.257853443414</v>
      </c>
      <c r="J413" s="380">
        <f t="shared" si="67"/>
        <v>31976.257853443414</v>
      </c>
      <c r="K413" s="380">
        <f t="shared" si="67"/>
        <v>31976.257853443414</v>
      </c>
      <c r="L413" s="380">
        <f t="shared" si="67"/>
        <v>31976.257853443414</v>
      </c>
      <c r="M413" s="380">
        <f t="shared" si="67"/>
        <v>31976.257853443414</v>
      </c>
      <c r="N413" s="380">
        <f t="shared" si="67"/>
        <v>31976.257853443414</v>
      </c>
      <c r="O413" s="380">
        <f t="shared" si="67"/>
        <v>31976.257853443414</v>
      </c>
      <c r="P413" s="380">
        <f t="shared" si="67"/>
        <v>31976.257853443414</v>
      </c>
      <c r="Q413" s="380">
        <f t="shared" si="67"/>
        <v>31976.257853443414</v>
      </c>
      <c r="R413" s="380">
        <f t="shared" si="67"/>
        <v>31976.257853443414</v>
      </c>
      <c r="S413" s="502"/>
      <c r="T413" s="537">
        <f>SUM(G413:R413)</f>
        <v>383715.09424132085</v>
      </c>
      <c r="U413" s="532" t="s">
        <v>194</v>
      </c>
      <c r="V413" s="18"/>
      <c r="W413" s="8"/>
      <c r="X413" s="222"/>
      <c r="Y413" s="222"/>
      <c r="Z413" s="355"/>
      <c r="AA413" s="355"/>
      <c r="AB413" s="355"/>
      <c r="AC413" s="355"/>
      <c r="AD413" s="355"/>
      <c r="AE413" s="355"/>
      <c r="AF413" s="355"/>
      <c r="AG413" s="355"/>
      <c r="AH413" s="355"/>
      <c r="AI413" s="355"/>
      <c r="AJ413" s="355"/>
      <c r="AK413" s="354"/>
      <c r="AL413" s="354"/>
      <c r="AM413" s="354"/>
      <c r="AN413" s="354"/>
    </row>
    <row r="414" spans="1:40" customFormat="1" x14ac:dyDescent="0.25">
      <c r="A414" s="8"/>
      <c r="B414" s="13"/>
      <c r="C414" s="499"/>
      <c r="D414" s="572"/>
      <c r="E414" s="313"/>
      <c r="F414" s="495" t="s">
        <v>189</v>
      </c>
      <c r="G414" s="501">
        <f>$J$377</f>
        <v>1065.8752617814471</v>
      </c>
      <c r="H414" s="501">
        <f t="shared" ref="H414:R414" si="68">$J$377</f>
        <v>1065.8752617814471</v>
      </c>
      <c r="I414" s="501">
        <f t="shared" si="68"/>
        <v>1065.8752617814471</v>
      </c>
      <c r="J414" s="501">
        <f t="shared" si="68"/>
        <v>1065.8752617814471</v>
      </c>
      <c r="K414" s="501">
        <f t="shared" si="68"/>
        <v>1065.8752617814471</v>
      </c>
      <c r="L414" s="501">
        <f t="shared" si="68"/>
        <v>1065.8752617814471</v>
      </c>
      <c r="M414" s="501">
        <f t="shared" si="68"/>
        <v>1065.8752617814471</v>
      </c>
      <c r="N414" s="501">
        <f t="shared" si="68"/>
        <v>1065.8752617814471</v>
      </c>
      <c r="O414" s="501">
        <f t="shared" si="68"/>
        <v>1065.8752617814471</v>
      </c>
      <c r="P414" s="501">
        <f t="shared" si="68"/>
        <v>1065.8752617814471</v>
      </c>
      <c r="Q414" s="501">
        <f t="shared" si="68"/>
        <v>1065.8752617814471</v>
      </c>
      <c r="R414" s="501">
        <f t="shared" si="68"/>
        <v>1065.8752617814471</v>
      </c>
      <c r="S414" s="502"/>
      <c r="T414" s="538">
        <f>AVERAGE(G414:R414)</f>
        <v>1065.8752617814469</v>
      </c>
      <c r="U414" s="535" t="s">
        <v>195</v>
      </c>
      <c r="V414" s="18"/>
      <c r="W414" s="8"/>
      <c r="X414" s="222"/>
      <c r="Y414" s="222"/>
      <c r="Z414" s="355"/>
      <c r="AA414" s="355"/>
      <c r="AB414" s="355"/>
      <c r="AC414" s="355"/>
      <c r="AD414" s="355"/>
      <c r="AE414" s="355"/>
      <c r="AF414" s="355"/>
      <c r="AG414" s="355"/>
      <c r="AH414" s="355"/>
      <c r="AI414" s="355"/>
      <c r="AJ414" s="355"/>
      <c r="AK414" s="354"/>
      <c r="AL414" s="354"/>
      <c r="AM414" s="354"/>
      <c r="AN414" s="354"/>
    </row>
    <row r="415" spans="1:40" customFormat="1" x14ac:dyDescent="0.25">
      <c r="A415" s="8"/>
      <c r="B415" s="13"/>
      <c r="C415" s="499"/>
      <c r="D415" s="968" t="str">
        <f>L369</f>
        <v>Livestock</v>
      </c>
      <c r="E415" s="1003"/>
      <c r="F415" s="359" t="s">
        <v>188</v>
      </c>
      <c r="G415" s="380">
        <f t="shared" ref="G415:R415" si="69">G416*30</f>
        <v>0</v>
      </c>
      <c r="H415" s="380">
        <f t="shared" si="69"/>
        <v>0</v>
      </c>
      <c r="I415" s="380">
        <f t="shared" si="69"/>
        <v>0</v>
      </c>
      <c r="J415" s="380">
        <f t="shared" si="69"/>
        <v>0</v>
      </c>
      <c r="K415" s="380">
        <f t="shared" si="69"/>
        <v>0</v>
      </c>
      <c r="L415" s="380">
        <f t="shared" si="69"/>
        <v>0</v>
      </c>
      <c r="M415" s="380">
        <f t="shared" si="69"/>
        <v>0</v>
      </c>
      <c r="N415" s="380">
        <f t="shared" si="69"/>
        <v>0</v>
      </c>
      <c r="O415" s="380">
        <f t="shared" si="69"/>
        <v>0</v>
      </c>
      <c r="P415" s="380">
        <f t="shared" si="69"/>
        <v>0</v>
      </c>
      <c r="Q415" s="380">
        <f t="shared" si="69"/>
        <v>0</v>
      </c>
      <c r="R415" s="380">
        <f t="shared" si="69"/>
        <v>0</v>
      </c>
      <c r="S415" s="502"/>
      <c r="T415" s="537">
        <f>SUM(G415:R415)</f>
        <v>0</v>
      </c>
      <c r="U415" s="532" t="s">
        <v>194</v>
      </c>
      <c r="V415" s="18"/>
      <c r="W415" s="8"/>
      <c r="X415" s="222"/>
      <c r="Y415" s="222"/>
      <c r="Z415" s="355"/>
      <c r="AA415" s="355"/>
      <c r="AB415" s="355"/>
      <c r="AC415" s="355"/>
      <c r="AD415" s="355"/>
      <c r="AE415" s="355"/>
      <c r="AF415" s="355"/>
      <c r="AG415" s="355"/>
      <c r="AH415" s="355"/>
      <c r="AI415" s="355"/>
      <c r="AJ415" s="355"/>
      <c r="AK415" s="354"/>
      <c r="AL415" s="354"/>
      <c r="AM415" s="354"/>
      <c r="AN415" s="354"/>
    </row>
    <row r="416" spans="1:40" customFormat="1" x14ac:dyDescent="0.25">
      <c r="A416" s="8"/>
      <c r="B416" s="13"/>
      <c r="C416" s="499"/>
      <c r="D416" s="1004" t="str">
        <f>L371</f>
        <v>CENSUS Data</v>
      </c>
      <c r="E416" s="1005"/>
      <c r="F416" s="495" t="s">
        <v>189</v>
      </c>
      <c r="G416" s="501">
        <f>$J$105</f>
        <v>0</v>
      </c>
      <c r="H416" s="501">
        <f t="shared" ref="H416:R416" si="70">$J$105</f>
        <v>0</v>
      </c>
      <c r="I416" s="501">
        <f t="shared" si="70"/>
        <v>0</v>
      </c>
      <c r="J416" s="501">
        <f t="shared" si="70"/>
        <v>0</v>
      </c>
      <c r="K416" s="501">
        <f t="shared" si="70"/>
        <v>0</v>
      </c>
      <c r="L416" s="501">
        <f t="shared" si="70"/>
        <v>0</v>
      </c>
      <c r="M416" s="501">
        <f t="shared" si="70"/>
        <v>0</v>
      </c>
      <c r="N416" s="501">
        <f t="shared" si="70"/>
        <v>0</v>
      </c>
      <c r="O416" s="501">
        <f t="shared" si="70"/>
        <v>0</v>
      </c>
      <c r="P416" s="501">
        <f t="shared" si="70"/>
        <v>0</v>
      </c>
      <c r="Q416" s="501">
        <f t="shared" si="70"/>
        <v>0</v>
      </c>
      <c r="R416" s="501">
        <f t="shared" si="70"/>
        <v>0</v>
      </c>
      <c r="S416" s="502"/>
      <c r="T416" s="538">
        <f>AVERAGE(G416:R416)</f>
        <v>0</v>
      </c>
      <c r="U416" s="535" t="s">
        <v>195</v>
      </c>
      <c r="V416" s="18"/>
      <c r="W416" s="8"/>
      <c r="X416" s="222"/>
      <c r="Y416" s="222"/>
      <c r="Z416" s="355"/>
      <c r="AA416" s="355"/>
      <c r="AB416" s="355"/>
      <c r="AC416" s="355"/>
      <c r="AD416" s="355"/>
      <c r="AE416" s="355"/>
      <c r="AF416" s="355"/>
      <c r="AG416" s="355"/>
      <c r="AH416" s="355"/>
      <c r="AI416" s="355"/>
      <c r="AJ416" s="355"/>
      <c r="AK416" s="354"/>
      <c r="AL416" s="354"/>
      <c r="AM416" s="354"/>
      <c r="AN416" s="354"/>
    </row>
    <row r="417" spans="1:40" customFormat="1" x14ac:dyDescent="0.25">
      <c r="A417" s="8"/>
      <c r="B417" s="13"/>
      <c r="C417" s="499"/>
      <c r="D417" s="968" t="str">
        <f>N369</f>
        <v>Agriculture</v>
      </c>
      <c r="E417" s="1003"/>
      <c r="F417" s="359" t="s">
        <v>188</v>
      </c>
      <c r="G417" s="380">
        <f t="shared" ref="G417:R418" si="71">I196</f>
        <v>20560.784507036198</v>
      </c>
      <c r="H417" s="380">
        <f t="shared" si="71"/>
        <v>0</v>
      </c>
      <c r="I417" s="380">
        <f t="shared" si="71"/>
        <v>0</v>
      </c>
      <c r="J417" s="380">
        <f t="shared" si="71"/>
        <v>5536.8883784884065</v>
      </c>
      <c r="K417" s="380">
        <f t="shared" si="71"/>
        <v>11603.931947065468</v>
      </c>
      <c r="L417" s="380">
        <f t="shared" si="71"/>
        <v>20408.398854811196</v>
      </c>
      <c r="M417" s="380">
        <f t="shared" si="71"/>
        <v>12283.657775418655</v>
      </c>
      <c r="N417" s="380">
        <f t="shared" si="71"/>
        <v>0</v>
      </c>
      <c r="O417" s="380">
        <f t="shared" si="71"/>
        <v>0</v>
      </c>
      <c r="P417" s="380">
        <f t="shared" si="71"/>
        <v>7991.6535659352348</v>
      </c>
      <c r="Q417" s="380">
        <f t="shared" si="71"/>
        <v>12049.653801723296</v>
      </c>
      <c r="R417" s="380">
        <f t="shared" si="71"/>
        <v>6140.0874356861423</v>
      </c>
      <c r="S417" s="502"/>
      <c r="T417" s="537">
        <f>SUM(G417:R417)</f>
        <v>96575.056266164596</v>
      </c>
      <c r="U417" s="532" t="s">
        <v>194</v>
      </c>
      <c r="V417" s="18"/>
      <c r="W417" s="8"/>
      <c r="X417" s="222"/>
      <c r="Y417" s="222"/>
      <c r="Z417" s="355"/>
      <c r="AA417" s="355"/>
      <c r="AB417" s="355"/>
      <c r="AC417" s="355"/>
      <c r="AD417" s="355"/>
      <c r="AE417" s="355"/>
      <c r="AF417" s="355"/>
      <c r="AG417" s="355"/>
      <c r="AH417" s="355"/>
      <c r="AI417" s="355"/>
      <c r="AJ417" s="355"/>
      <c r="AK417" s="354"/>
      <c r="AL417" s="354"/>
      <c r="AM417" s="354"/>
      <c r="AN417" s="354"/>
    </row>
    <row r="418" spans="1:40" customFormat="1" x14ac:dyDescent="0.25">
      <c r="A418" s="8"/>
      <c r="B418" s="13"/>
      <c r="C418" s="499"/>
      <c r="D418" s="572"/>
      <c r="E418" s="313"/>
      <c r="F418" s="495" t="s">
        <v>189</v>
      </c>
      <c r="G418" s="501">
        <f t="shared" si="71"/>
        <v>685.35948356787333</v>
      </c>
      <c r="H418" s="501">
        <f t="shared" si="71"/>
        <v>0</v>
      </c>
      <c r="I418" s="501">
        <f t="shared" si="71"/>
        <v>0</v>
      </c>
      <c r="J418" s="501">
        <f t="shared" si="71"/>
        <v>184.56294594961355</v>
      </c>
      <c r="K418" s="501">
        <f t="shared" si="71"/>
        <v>386.79773156884892</v>
      </c>
      <c r="L418" s="501">
        <f t="shared" si="71"/>
        <v>680.27996182703987</v>
      </c>
      <c r="M418" s="501">
        <f t="shared" si="71"/>
        <v>409.45525918062179</v>
      </c>
      <c r="N418" s="501">
        <f t="shared" si="71"/>
        <v>0</v>
      </c>
      <c r="O418" s="501">
        <f t="shared" si="71"/>
        <v>0</v>
      </c>
      <c r="P418" s="501">
        <f t="shared" si="71"/>
        <v>266.38845219784116</v>
      </c>
      <c r="Q418" s="501">
        <f t="shared" si="71"/>
        <v>401.65512672410989</v>
      </c>
      <c r="R418" s="501">
        <f t="shared" si="71"/>
        <v>204.66958118953806</v>
      </c>
      <c r="S418" s="502"/>
      <c r="T418" s="388">
        <f>AVERAGE(G418:R418)</f>
        <v>268.26404518379053</v>
      </c>
      <c r="U418" s="533" t="s">
        <v>195</v>
      </c>
      <c r="V418" s="18"/>
      <c r="W418" s="8"/>
      <c r="X418" s="222"/>
      <c r="Y418" s="222"/>
      <c r="Z418" s="355"/>
      <c r="AA418" s="355"/>
      <c r="AB418" s="355"/>
      <c r="AC418" s="355"/>
      <c r="AD418" s="355"/>
      <c r="AE418" s="355"/>
      <c r="AF418" s="355"/>
      <c r="AG418" s="355"/>
      <c r="AH418" s="355"/>
      <c r="AI418" s="355"/>
      <c r="AJ418" s="355"/>
      <c r="AK418" s="354"/>
      <c r="AL418" s="354"/>
      <c r="AM418" s="354"/>
      <c r="AN418" s="354"/>
    </row>
    <row r="419" spans="1:40" customFormat="1" x14ac:dyDescent="0.25">
      <c r="A419" s="8"/>
      <c r="B419" s="13"/>
      <c r="C419" s="499"/>
      <c r="D419" s="967" t="str">
        <f>P369</f>
        <v>Seasonal livestock</v>
      </c>
      <c r="E419" s="1003"/>
      <c r="F419" s="359" t="s">
        <v>188</v>
      </c>
      <c r="G419" s="494">
        <f t="shared" ref="G419:R420" si="72">I251</f>
        <v>7519.7441255461017</v>
      </c>
      <c r="H419" s="494">
        <f t="shared" si="72"/>
        <v>0</v>
      </c>
      <c r="I419" s="494">
        <f t="shared" si="72"/>
        <v>0</v>
      </c>
      <c r="J419" s="494">
        <f t="shared" si="72"/>
        <v>0</v>
      </c>
      <c r="K419" s="494">
        <f t="shared" si="72"/>
        <v>0</v>
      </c>
      <c r="L419" s="494">
        <f t="shared" si="72"/>
        <v>0</v>
      </c>
      <c r="M419" s="494">
        <f t="shared" si="72"/>
        <v>0</v>
      </c>
      <c r="N419" s="494">
        <f t="shared" si="72"/>
        <v>0</v>
      </c>
      <c r="O419" s="494">
        <f t="shared" si="72"/>
        <v>7519.7441255461017</v>
      </c>
      <c r="P419" s="494">
        <f t="shared" si="72"/>
        <v>12031.590600873764</v>
      </c>
      <c r="Q419" s="494">
        <f t="shared" si="72"/>
        <v>15039.488251092203</v>
      </c>
      <c r="R419" s="494">
        <f t="shared" si="72"/>
        <v>12031.590600873764</v>
      </c>
      <c r="S419" s="502"/>
      <c r="T419" s="538">
        <f>SUM(G419:R419)</f>
        <v>54142.157703931938</v>
      </c>
      <c r="U419" s="535" t="s">
        <v>194</v>
      </c>
      <c r="V419" s="18"/>
      <c r="W419" s="8"/>
      <c r="X419" s="574"/>
      <c r="Y419" s="574"/>
      <c r="Z419" s="355"/>
      <c r="AA419" s="355"/>
      <c r="AB419" s="355"/>
      <c r="AC419" s="355"/>
      <c r="AD419" s="355"/>
      <c r="AE419" s="355"/>
      <c r="AF419" s="355"/>
      <c r="AG419" s="355"/>
      <c r="AH419" s="355"/>
      <c r="AI419" s="355"/>
      <c r="AJ419" s="355"/>
      <c r="AK419" s="354"/>
      <c r="AL419" s="354"/>
      <c r="AM419" s="354"/>
      <c r="AN419" s="354"/>
    </row>
    <row r="420" spans="1:40" customFormat="1" x14ac:dyDescent="0.25">
      <c r="A420" s="8"/>
      <c r="B420" s="13"/>
      <c r="C420" s="499"/>
      <c r="D420" s="496"/>
      <c r="E420" s="571"/>
      <c r="F420" s="360" t="s">
        <v>189</v>
      </c>
      <c r="G420" s="381">
        <f t="shared" si="72"/>
        <v>250.6581375182034</v>
      </c>
      <c r="H420" s="381">
        <f t="shared" si="72"/>
        <v>0</v>
      </c>
      <c r="I420" s="381">
        <f t="shared" si="72"/>
        <v>0</v>
      </c>
      <c r="J420" s="381">
        <f t="shared" si="72"/>
        <v>0</v>
      </c>
      <c r="K420" s="381">
        <f t="shared" si="72"/>
        <v>0</v>
      </c>
      <c r="L420" s="381">
        <f t="shared" si="72"/>
        <v>0</v>
      </c>
      <c r="M420" s="381">
        <f t="shared" si="72"/>
        <v>0</v>
      </c>
      <c r="N420" s="381">
        <f t="shared" si="72"/>
        <v>0</v>
      </c>
      <c r="O420" s="381">
        <f t="shared" si="72"/>
        <v>250.6581375182034</v>
      </c>
      <c r="P420" s="381">
        <f t="shared" si="72"/>
        <v>401.05302002912543</v>
      </c>
      <c r="Q420" s="381">
        <f t="shared" si="72"/>
        <v>501.31627503640681</v>
      </c>
      <c r="R420" s="381">
        <f t="shared" si="72"/>
        <v>401.05302002912543</v>
      </c>
      <c r="S420" s="502"/>
      <c r="T420" s="388">
        <f>AVERAGE(G420:R420)</f>
        <v>150.39488251092203</v>
      </c>
      <c r="U420" s="533" t="s">
        <v>195</v>
      </c>
      <c r="V420" s="18"/>
      <c r="W420" s="8"/>
      <c r="X420" s="574"/>
      <c r="Y420" s="574"/>
      <c r="Z420" s="355"/>
      <c r="AA420" s="355"/>
      <c r="AB420" s="355"/>
      <c r="AC420" s="355"/>
      <c r="AD420" s="355"/>
      <c r="AE420" s="355"/>
      <c r="AF420" s="355"/>
      <c r="AG420" s="355"/>
      <c r="AH420" s="355"/>
      <c r="AI420" s="355"/>
      <c r="AJ420" s="355"/>
      <c r="AK420" s="354"/>
      <c r="AL420" s="354"/>
      <c r="AM420" s="354"/>
      <c r="AN420" s="354"/>
    </row>
    <row r="421" spans="1:40" customFormat="1" x14ac:dyDescent="0.25">
      <c r="A421" s="8"/>
      <c r="B421" s="13"/>
      <c r="C421" s="499"/>
      <c r="D421" s="967" t="str">
        <f>R369</f>
        <v>Wildlife</v>
      </c>
      <c r="E421" s="1003"/>
      <c r="F421" s="359" t="s">
        <v>188</v>
      </c>
      <c r="G421" s="494">
        <f>G422*30</f>
        <v>0</v>
      </c>
      <c r="H421" s="494">
        <f t="shared" ref="H421:R421" si="73">H422*30</f>
        <v>0</v>
      </c>
      <c r="I421" s="494">
        <f t="shared" si="73"/>
        <v>0</v>
      </c>
      <c r="J421" s="494">
        <f t="shared" si="73"/>
        <v>0</v>
      </c>
      <c r="K421" s="494">
        <f t="shared" si="73"/>
        <v>0</v>
      </c>
      <c r="L421" s="494">
        <f t="shared" si="73"/>
        <v>0</v>
      </c>
      <c r="M421" s="494">
        <f t="shared" si="73"/>
        <v>0</v>
      </c>
      <c r="N421" s="494">
        <f t="shared" si="73"/>
        <v>0</v>
      </c>
      <c r="O421" s="494">
        <f t="shared" si="73"/>
        <v>0</v>
      </c>
      <c r="P421" s="494">
        <f t="shared" si="73"/>
        <v>0</v>
      </c>
      <c r="Q421" s="494">
        <f t="shared" si="73"/>
        <v>0</v>
      </c>
      <c r="R421" s="494">
        <f t="shared" si="73"/>
        <v>0</v>
      </c>
      <c r="S421" s="502"/>
      <c r="T421" s="538">
        <f>SUM(G421:R421)</f>
        <v>0</v>
      </c>
      <c r="U421" s="535" t="s">
        <v>194</v>
      </c>
      <c r="V421" s="18"/>
      <c r="W421" s="8"/>
      <c r="X421" s="222"/>
      <c r="Y421" s="222"/>
      <c r="Z421" s="355"/>
      <c r="AA421" s="355"/>
      <c r="AB421" s="355"/>
      <c r="AC421" s="355"/>
      <c r="AD421" s="355"/>
      <c r="AE421" s="355"/>
      <c r="AF421" s="355"/>
      <c r="AG421" s="355"/>
      <c r="AH421" s="355"/>
      <c r="AI421" s="355"/>
      <c r="AJ421" s="355"/>
      <c r="AK421" s="354"/>
      <c r="AL421" s="354"/>
      <c r="AM421" s="354"/>
      <c r="AN421" s="354"/>
    </row>
    <row r="422" spans="1:40" customFormat="1" x14ac:dyDescent="0.25">
      <c r="A422" s="8"/>
      <c r="B422" s="13"/>
      <c r="C422" s="500"/>
      <c r="D422" s="496"/>
      <c r="E422" s="571"/>
      <c r="F422" s="360" t="s">
        <v>189</v>
      </c>
      <c r="G422" s="381">
        <f>$R$377</f>
        <v>0</v>
      </c>
      <c r="H422" s="381">
        <f t="shared" ref="H422:R422" si="74">$R$377</f>
        <v>0</v>
      </c>
      <c r="I422" s="381">
        <f t="shared" si="74"/>
        <v>0</v>
      </c>
      <c r="J422" s="381">
        <f t="shared" si="74"/>
        <v>0</v>
      </c>
      <c r="K422" s="381">
        <f t="shared" si="74"/>
        <v>0</v>
      </c>
      <c r="L422" s="381">
        <f t="shared" si="74"/>
        <v>0</v>
      </c>
      <c r="M422" s="381">
        <f t="shared" si="74"/>
        <v>0</v>
      </c>
      <c r="N422" s="381">
        <f t="shared" si="74"/>
        <v>0</v>
      </c>
      <c r="O422" s="381">
        <f t="shared" si="74"/>
        <v>0</v>
      </c>
      <c r="P422" s="381">
        <f t="shared" si="74"/>
        <v>0</v>
      </c>
      <c r="Q422" s="381">
        <f t="shared" si="74"/>
        <v>0</v>
      </c>
      <c r="R422" s="381">
        <f t="shared" si="74"/>
        <v>0</v>
      </c>
      <c r="S422" s="502"/>
      <c r="T422" s="388">
        <f>AVERAGE(G422:R422)</f>
        <v>0</v>
      </c>
      <c r="U422" s="533" t="s">
        <v>195</v>
      </c>
      <c r="V422" s="18"/>
      <c r="W422" s="8"/>
      <c r="X422" s="222"/>
      <c r="Y422" s="222"/>
      <c r="Z422" s="355"/>
      <c r="AA422" s="355"/>
      <c r="AB422" s="355"/>
      <c r="AC422" s="355"/>
      <c r="AD422" s="355"/>
      <c r="AE422" s="355"/>
      <c r="AF422" s="355"/>
      <c r="AG422" s="355"/>
      <c r="AH422" s="355"/>
      <c r="AI422" s="355"/>
      <c r="AJ422" s="355"/>
      <c r="AK422" s="354"/>
      <c r="AL422" s="354"/>
      <c r="AM422" s="354"/>
      <c r="AN422" s="354"/>
    </row>
    <row r="423" spans="1:40" customFormat="1" x14ac:dyDescent="0.25">
      <c r="A423" s="8"/>
      <c r="B423" s="13"/>
      <c r="C423" s="313"/>
      <c r="D423" s="572"/>
      <c r="E423" s="237"/>
      <c r="F423" s="213"/>
      <c r="G423" s="509"/>
      <c r="H423" s="509"/>
      <c r="I423" s="509"/>
      <c r="J423" s="509"/>
      <c r="K423" s="509"/>
      <c r="L423" s="509"/>
      <c r="M423" s="509"/>
      <c r="N423" s="509"/>
      <c r="O423" s="509"/>
      <c r="P423" s="509"/>
      <c r="Q423" s="509"/>
      <c r="R423" s="509"/>
      <c r="S423" s="502"/>
      <c r="T423" s="509"/>
      <c r="U423" s="502"/>
      <c r="V423" s="18"/>
      <c r="W423" s="8"/>
      <c r="X423" s="222"/>
      <c r="Y423" s="222"/>
      <c r="Z423" s="355"/>
      <c r="AA423" s="355"/>
      <c r="AB423" s="355"/>
      <c r="AC423" s="355"/>
      <c r="AD423" s="355"/>
      <c r="AE423" s="355"/>
      <c r="AF423" s="355"/>
      <c r="AG423" s="355"/>
      <c r="AH423" s="355"/>
      <c r="AI423" s="355"/>
      <c r="AJ423" s="355"/>
      <c r="AK423" s="354"/>
      <c r="AL423" s="354"/>
      <c r="AM423" s="354"/>
      <c r="AN423" s="354"/>
    </row>
    <row r="424" spans="1:40" customFormat="1" x14ac:dyDescent="0.25">
      <c r="A424" s="8"/>
      <c r="B424" s="13"/>
      <c r="C424" s="498">
        <f>F26</f>
        <v>2033</v>
      </c>
      <c r="D424" s="1007" t="s">
        <v>25</v>
      </c>
      <c r="E424" s="940"/>
      <c r="F424" s="503" t="s">
        <v>188</v>
      </c>
      <c r="G424" s="507">
        <f>G413+G415+G417+G421+G419</f>
        <v>60056.78648602571</v>
      </c>
      <c r="H424" s="507">
        <f t="shared" ref="H424:R424" si="75">H413+H415+H417+H421+H419</f>
        <v>31976.257853443414</v>
      </c>
      <c r="I424" s="507">
        <f t="shared" si="75"/>
        <v>31976.257853443414</v>
      </c>
      <c r="J424" s="507">
        <f t="shared" si="75"/>
        <v>37513.146231931823</v>
      </c>
      <c r="K424" s="507">
        <f t="shared" si="75"/>
        <v>43580.189800508881</v>
      </c>
      <c r="L424" s="507">
        <f t="shared" si="75"/>
        <v>52384.65670825461</v>
      </c>
      <c r="M424" s="507">
        <f t="shared" si="75"/>
        <v>44259.915628862072</v>
      </c>
      <c r="N424" s="507">
        <f t="shared" si="75"/>
        <v>31976.257853443414</v>
      </c>
      <c r="O424" s="507">
        <f t="shared" si="75"/>
        <v>39496.001978989516</v>
      </c>
      <c r="P424" s="507">
        <f t="shared" si="75"/>
        <v>51999.502020252417</v>
      </c>
      <c r="Q424" s="507">
        <f t="shared" si="75"/>
        <v>59065.399906258914</v>
      </c>
      <c r="R424" s="507">
        <f t="shared" si="75"/>
        <v>50147.935890003326</v>
      </c>
      <c r="S424" s="502"/>
      <c r="T424" s="530">
        <f>SUM(G424:R424)</f>
        <v>534432.3082114174</v>
      </c>
      <c r="U424" s="532" t="s">
        <v>194</v>
      </c>
      <c r="V424" s="18"/>
      <c r="W424" s="8"/>
      <c r="X424" s="222"/>
      <c r="Y424" s="222"/>
      <c r="Z424" s="355"/>
      <c r="AA424" s="355"/>
      <c r="AB424" s="355"/>
      <c r="AC424" s="355"/>
      <c r="AD424" s="355"/>
      <c r="AE424" s="355"/>
      <c r="AF424" s="355"/>
      <c r="AG424" s="355"/>
      <c r="AH424" s="355"/>
      <c r="AI424" s="355"/>
      <c r="AJ424" s="355"/>
      <c r="AK424" s="354"/>
      <c r="AL424" s="354"/>
      <c r="AM424" s="354"/>
      <c r="AN424" s="354"/>
    </row>
    <row r="425" spans="1:40" customFormat="1" x14ac:dyDescent="0.25">
      <c r="A425" s="8"/>
      <c r="B425" s="13"/>
      <c r="C425" s="500"/>
      <c r="D425" s="513"/>
      <c r="E425" s="514"/>
      <c r="F425" s="506" t="s">
        <v>189</v>
      </c>
      <c r="G425" s="508">
        <f>G414+G416+G418+G422+G420</f>
        <v>2001.8928828675237</v>
      </c>
      <c r="H425" s="508">
        <f t="shared" ref="H425:R425" si="76">H414+H416+H418+H422+H420</f>
        <v>1065.8752617814471</v>
      </c>
      <c r="I425" s="508">
        <f t="shared" si="76"/>
        <v>1065.8752617814471</v>
      </c>
      <c r="J425" s="508">
        <f t="shared" si="76"/>
        <v>1250.4382077310606</v>
      </c>
      <c r="K425" s="508">
        <f t="shared" si="76"/>
        <v>1452.6729933502961</v>
      </c>
      <c r="L425" s="508">
        <f t="shared" si="76"/>
        <v>1746.1552236084869</v>
      </c>
      <c r="M425" s="508">
        <f t="shared" si="76"/>
        <v>1475.3305209620689</v>
      </c>
      <c r="N425" s="508">
        <f t="shared" si="76"/>
        <v>1065.8752617814471</v>
      </c>
      <c r="O425" s="508">
        <f t="shared" si="76"/>
        <v>1316.5333992996505</v>
      </c>
      <c r="P425" s="508">
        <f t="shared" si="76"/>
        <v>1733.3167340084137</v>
      </c>
      <c r="Q425" s="508">
        <f t="shared" si="76"/>
        <v>1968.8466635419636</v>
      </c>
      <c r="R425" s="508">
        <f t="shared" si="76"/>
        <v>1671.5978630001107</v>
      </c>
      <c r="S425" s="502"/>
      <c r="T425" s="531">
        <f>AVERAGE(G425:R425)</f>
        <v>1484.5341894761596</v>
      </c>
      <c r="U425" s="533" t="s">
        <v>195</v>
      </c>
      <c r="V425" s="18"/>
      <c r="W425" s="8"/>
      <c r="X425" s="222"/>
      <c r="Y425" s="222"/>
      <c r="Z425" s="355"/>
      <c r="AA425" s="355"/>
      <c r="AB425" s="355"/>
      <c r="AC425" s="355"/>
      <c r="AD425" s="355"/>
      <c r="AE425" s="355"/>
      <c r="AF425" s="355"/>
      <c r="AG425" s="355"/>
      <c r="AH425" s="355"/>
      <c r="AI425" s="355"/>
      <c r="AJ425" s="355"/>
      <c r="AK425" s="354"/>
      <c r="AL425" s="354"/>
      <c r="AM425" s="354"/>
      <c r="AN425" s="354"/>
    </row>
    <row r="426" spans="1:40" s="40" customFormat="1" x14ac:dyDescent="0.25">
      <c r="A426" s="219"/>
      <c r="B426" s="587"/>
      <c r="C426" s="32"/>
      <c r="D426" s="1004"/>
      <c r="E426" s="881"/>
      <c r="F426" s="32"/>
      <c r="G426" s="32"/>
      <c r="H426" s="83"/>
      <c r="I426" s="578"/>
      <c r="J426" s="579"/>
      <c r="K426" s="86"/>
      <c r="L426" s="87"/>
      <c r="M426" s="32"/>
      <c r="N426" s="32"/>
      <c r="O426" s="32"/>
      <c r="P426" s="32"/>
      <c r="Q426" s="32"/>
      <c r="R426" s="32"/>
      <c r="S426" s="32"/>
      <c r="T426" s="32"/>
      <c r="U426" s="32"/>
      <c r="V426" s="37"/>
    </row>
    <row r="427" spans="1:40" s="40" customFormat="1" x14ac:dyDescent="0.25">
      <c r="A427" s="219"/>
      <c r="B427" s="219"/>
      <c r="D427" s="588"/>
      <c r="E427" s="574"/>
      <c r="H427" s="88"/>
      <c r="I427" s="89"/>
      <c r="J427" s="90"/>
      <c r="K427" s="91"/>
      <c r="L427" s="573"/>
    </row>
    <row r="428" spans="1:40" x14ac:dyDescent="0.25">
      <c r="B428" s="40"/>
      <c r="C428" s="40"/>
      <c r="D428" s="9"/>
      <c r="E428" s="10"/>
      <c r="F428" s="10"/>
      <c r="G428" s="10"/>
      <c r="H428" s="214"/>
      <c r="I428" s="576"/>
      <c r="J428" s="215"/>
      <c r="K428" s="216"/>
      <c r="L428" s="217"/>
      <c r="M428" s="10"/>
      <c r="N428" s="10"/>
      <c r="O428" s="10"/>
      <c r="P428" s="10"/>
      <c r="Q428" s="10"/>
      <c r="R428" s="10"/>
      <c r="S428" s="10"/>
      <c r="T428" s="10"/>
      <c r="U428" s="10"/>
      <c r="V428" s="12"/>
    </row>
    <row r="429" spans="1:40" ht="15" customHeight="1" x14ac:dyDescent="0.25">
      <c r="A429" s="38"/>
      <c r="B429" s="219"/>
      <c r="C429" s="40"/>
      <c r="D429" s="13"/>
      <c r="E429" s="14"/>
      <c r="F429" s="356"/>
      <c r="G429" s="979" t="s">
        <v>248</v>
      </c>
      <c r="H429" s="980"/>
      <c r="I429" s="980"/>
      <c r="J429" s="980"/>
      <c r="K429" s="980"/>
      <c r="L429" s="980"/>
      <c r="M429" s="980"/>
      <c r="N429" s="980"/>
      <c r="O429" s="980"/>
      <c r="P429" s="980"/>
      <c r="Q429" s="980"/>
      <c r="R429" s="981"/>
      <c r="S429" s="14"/>
      <c r="T429" s="982"/>
      <c r="U429" s="918"/>
      <c r="V429" s="18"/>
    </row>
    <row r="430" spans="1:40" s="234" customFormat="1" ht="15" customHeight="1" x14ac:dyDescent="0.25">
      <c r="A430" s="354"/>
      <c r="B430" s="355"/>
      <c r="C430" s="355"/>
      <c r="D430" s="441"/>
      <c r="E430" s="14"/>
      <c r="F430" s="41"/>
      <c r="G430" s="384" t="s">
        <v>92</v>
      </c>
      <c r="H430" s="384" t="s">
        <v>93</v>
      </c>
      <c r="I430" s="384" t="s">
        <v>94</v>
      </c>
      <c r="J430" s="384" t="s">
        <v>95</v>
      </c>
      <c r="K430" s="384" t="s">
        <v>96</v>
      </c>
      <c r="L430" s="384" t="s">
        <v>97</v>
      </c>
      <c r="M430" s="384" t="s">
        <v>98</v>
      </c>
      <c r="N430" s="384" t="s">
        <v>99</v>
      </c>
      <c r="O430" s="384" t="s">
        <v>100</v>
      </c>
      <c r="P430" s="384" t="s">
        <v>101</v>
      </c>
      <c r="Q430" s="384" t="s">
        <v>102</v>
      </c>
      <c r="R430" s="384" t="s">
        <v>103</v>
      </c>
      <c r="S430" s="502"/>
      <c r="T430" s="915" t="s">
        <v>25</v>
      </c>
      <c r="U430" s="918"/>
      <c r="V430" s="586"/>
      <c r="W430" s="354"/>
      <c r="X430" s="355"/>
      <c r="Y430" s="574"/>
      <c r="Z430" s="355"/>
      <c r="AA430" s="355"/>
      <c r="AB430" s="355"/>
      <c r="AC430" s="355"/>
      <c r="AD430" s="355"/>
      <c r="AE430" s="355"/>
      <c r="AF430" s="355"/>
      <c r="AG430" s="355"/>
      <c r="AH430" s="355"/>
      <c r="AI430" s="355"/>
      <c r="AJ430" s="355"/>
      <c r="AK430" s="354"/>
      <c r="AL430" s="354"/>
      <c r="AM430" s="354"/>
      <c r="AN430" s="354"/>
    </row>
    <row r="431" spans="1:40" s="234" customFormat="1" ht="15" customHeight="1" x14ac:dyDescent="0.25">
      <c r="A431" s="354"/>
      <c r="B431" s="355"/>
      <c r="C431" s="355"/>
      <c r="D431" s="441"/>
      <c r="E431" s="14"/>
      <c r="F431" s="41"/>
      <c r="G431" s="609"/>
      <c r="H431" s="609"/>
      <c r="I431" s="609"/>
      <c r="J431" s="609"/>
      <c r="K431" s="609"/>
      <c r="L431" s="609"/>
      <c r="M431" s="609"/>
      <c r="N431" s="609"/>
      <c r="O431" s="609"/>
      <c r="P431" s="609"/>
      <c r="Q431" s="609"/>
      <c r="R431" s="609"/>
      <c r="S431" s="502"/>
      <c r="T431" s="610"/>
      <c r="U431" s="569"/>
      <c r="V431" s="586"/>
      <c r="W431" s="354"/>
      <c r="X431" s="355"/>
      <c r="Y431" s="574"/>
      <c r="Z431" s="355"/>
      <c r="AA431" s="355"/>
      <c r="AB431" s="355"/>
      <c r="AC431" s="355"/>
      <c r="AD431" s="355"/>
      <c r="AE431" s="355"/>
      <c r="AF431" s="355"/>
      <c r="AG431" s="355"/>
      <c r="AH431" s="355"/>
      <c r="AI431" s="355"/>
      <c r="AJ431" s="355"/>
      <c r="AK431" s="354"/>
      <c r="AL431" s="354"/>
      <c r="AM431" s="354"/>
      <c r="AN431" s="354"/>
    </row>
    <row r="432" spans="1:40" s="234" customFormat="1" x14ac:dyDescent="0.25">
      <c r="A432" s="354"/>
      <c r="B432" s="355"/>
      <c r="C432" s="600"/>
      <c r="D432" s="601"/>
      <c r="E432" s="597">
        <f>H373</f>
        <v>2013</v>
      </c>
      <c r="F432" s="359" t="s">
        <v>188</v>
      </c>
      <c r="G432" s="589">
        <f>G396</f>
        <v>33251.986551657974</v>
      </c>
      <c r="H432" s="589">
        <f t="shared" ref="H432:R432" si="77">H396</f>
        <v>17704.478683062</v>
      </c>
      <c r="I432" s="589">
        <f t="shared" si="77"/>
        <v>17704.478683062</v>
      </c>
      <c r="J432" s="589">
        <f t="shared" si="77"/>
        <v>20770.11953186712</v>
      </c>
      <c r="K432" s="589">
        <f t="shared" si="77"/>
        <v>24129.294455380379</v>
      </c>
      <c r="L432" s="589">
        <f t="shared" si="77"/>
        <v>29004.114310735124</v>
      </c>
      <c r="M432" s="589">
        <f t="shared" si="77"/>
        <v>24505.642166033762</v>
      </c>
      <c r="N432" s="589">
        <f t="shared" si="77"/>
        <v>17704.478683062</v>
      </c>
      <c r="O432" s="589">
        <f t="shared" si="77"/>
        <v>21867.978683062</v>
      </c>
      <c r="P432" s="589">
        <f t="shared" si="77"/>
        <v>28790.863498377104</v>
      </c>
      <c r="Q432" s="589">
        <f t="shared" si="77"/>
        <v>32703.079839415383</v>
      </c>
      <c r="R432" s="589">
        <f t="shared" si="77"/>
        <v>27765.696224785563</v>
      </c>
      <c r="S432" s="502"/>
      <c r="T432" s="611">
        <f>SUM(G432:R432)</f>
        <v>295902.21131050045</v>
      </c>
      <c r="U432" s="612" t="s">
        <v>194</v>
      </c>
      <c r="V432" s="586"/>
      <c r="W432" s="354"/>
      <c r="X432" s="574"/>
      <c r="Y432" s="574"/>
      <c r="Z432" s="355"/>
      <c r="AA432" s="355"/>
      <c r="AB432" s="355"/>
      <c r="AC432" s="355"/>
      <c r="AD432" s="355"/>
      <c r="AE432" s="355"/>
      <c r="AF432" s="355"/>
      <c r="AG432" s="355"/>
      <c r="AH432" s="355"/>
      <c r="AI432" s="355"/>
      <c r="AJ432" s="355"/>
      <c r="AK432" s="354"/>
      <c r="AL432" s="354"/>
      <c r="AM432" s="354"/>
      <c r="AN432" s="354"/>
    </row>
    <row r="433" spans="1:40" s="234" customFormat="1" x14ac:dyDescent="0.25">
      <c r="A433" s="354"/>
      <c r="B433" s="355"/>
      <c r="C433" s="600"/>
      <c r="D433" s="601"/>
      <c r="E433" s="598"/>
      <c r="F433" s="595" t="s">
        <v>189</v>
      </c>
      <c r="G433" s="590">
        <f>G397</f>
        <v>1108.3995517219325</v>
      </c>
      <c r="H433" s="590">
        <f t="shared" ref="H433:R433" si="78">H397</f>
        <v>590.14928943539996</v>
      </c>
      <c r="I433" s="590">
        <f t="shared" si="78"/>
        <v>590.14928943539996</v>
      </c>
      <c r="J433" s="590">
        <f t="shared" si="78"/>
        <v>692.33731772890405</v>
      </c>
      <c r="K433" s="590">
        <f t="shared" si="78"/>
        <v>804.30981517934595</v>
      </c>
      <c r="L433" s="590">
        <f t="shared" si="78"/>
        <v>966.80381035783739</v>
      </c>
      <c r="M433" s="590">
        <f t="shared" si="78"/>
        <v>816.85473886779198</v>
      </c>
      <c r="N433" s="590">
        <f t="shared" si="78"/>
        <v>590.14928943539996</v>
      </c>
      <c r="O433" s="590">
        <f t="shared" si="78"/>
        <v>728.93262276873327</v>
      </c>
      <c r="P433" s="590">
        <f t="shared" si="78"/>
        <v>959.69544994590342</v>
      </c>
      <c r="Q433" s="590">
        <f t="shared" si="78"/>
        <v>1090.1026613138461</v>
      </c>
      <c r="R433" s="590">
        <f t="shared" si="78"/>
        <v>925.52320749285218</v>
      </c>
      <c r="S433" s="502"/>
      <c r="T433" s="613">
        <f>AVERAGE(G433:R433)</f>
        <v>821.95058697361219</v>
      </c>
      <c r="U433" s="614" t="s">
        <v>195</v>
      </c>
      <c r="V433" s="586"/>
      <c r="W433" s="354"/>
      <c r="X433" s="574"/>
      <c r="Y433" s="574"/>
      <c r="Z433" s="355"/>
      <c r="AA433" s="355"/>
      <c r="AB433" s="355"/>
      <c r="AC433" s="355"/>
      <c r="AD433" s="355"/>
      <c r="AE433" s="355"/>
      <c r="AF433" s="355"/>
      <c r="AG433" s="355"/>
      <c r="AH433" s="355"/>
      <c r="AI433" s="355"/>
      <c r="AJ433" s="355"/>
      <c r="AK433" s="354"/>
      <c r="AL433" s="354"/>
      <c r="AM433" s="354"/>
      <c r="AN433" s="354"/>
    </row>
    <row r="434" spans="1:40" customFormat="1" x14ac:dyDescent="0.25">
      <c r="A434" s="8"/>
      <c r="B434" s="40"/>
      <c r="C434" s="600"/>
      <c r="D434" s="601"/>
      <c r="E434" s="597">
        <f>H375</f>
        <v>2023</v>
      </c>
      <c r="F434" s="359" t="s">
        <v>188</v>
      </c>
      <c r="G434" s="591">
        <f>G410</f>
        <v>44687.889372503618</v>
      </c>
      <c r="H434" s="591">
        <f t="shared" ref="H434:R434" si="79">H410</f>
        <v>23793.338889915864</v>
      </c>
      <c r="I434" s="591">
        <f t="shared" si="79"/>
        <v>23793.338889915864</v>
      </c>
      <c r="J434" s="591">
        <f t="shared" si="79"/>
        <v>27913.303839811484</v>
      </c>
      <c r="K434" s="591">
        <f t="shared" si="79"/>
        <v>32427.754040602988</v>
      </c>
      <c r="L434" s="591">
        <f t="shared" si="79"/>
        <v>38979.104290566174</v>
      </c>
      <c r="M434" s="591">
        <f t="shared" si="79"/>
        <v>32933.533893278727</v>
      </c>
      <c r="N434" s="591">
        <f t="shared" si="79"/>
        <v>23793.338889915864</v>
      </c>
      <c r="O434" s="591">
        <f t="shared" si="79"/>
        <v>29388.734735315113</v>
      </c>
      <c r="P434" s="591">
        <f t="shared" si="79"/>
        <v>38692.513030929789</v>
      </c>
      <c r="Q434" s="591">
        <f t="shared" si="79"/>
        <v>43950.204651188862</v>
      </c>
      <c r="R434" s="591">
        <f t="shared" si="79"/>
        <v>37314.773940382562</v>
      </c>
      <c r="S434" s="502"/>
      <c r="T434" s="611">
        <f>SUM(G434:R434)</f>
        <v>397667.82846432691</v>
      </c>
      <c r="U434" s="612" t="s">
        <v>194</v>
      </c>
      <c r="V434" s="18"/>
      <c r="W434" s="8"/>
      <c r="X434" s="574"/>
      <c r="Y434" s="574"/>
      <c r="Z434" s="355"/>
      <c r="AA434" s="355"/>
      <c r="AB434" s="355"/>
      <c r="AC434" s="355"/>
      <c r="AD434" s="355"/>
      <c r="AE434" s="355"/>
      <c r="AF434" s="355"/>
      <c r="AG434" s="355"/>
      <c r="AH434" s="355"/>
      <c r="AI434" s="355"/>
      <c r="AJ434" s="355"/>
      <c r="AK434" s="354"/>
      <c r="AL434" s="354"/>
      <c r="AM434" s="354"/>
      <c r="AN434" s="354"/>
    </row>
    <row r="435" spans="1:40" customFormat="1" x14ac:dyDescent="0.25">
      <c r="A435" s="8"/>
      <c r="B435" s="40"/>
      <c r="C435" s="600"/>
      <c r="D435" s="601"/>
      <c r="E435" s="599"/>
      <c r="F435" s="593" t="s">
        <v>189</v>
      </c>
      <c r="G435" s="592">
        <f>G411</f>
        <v>1489.5963124167872</v>
      </c>
      <c r="H435" s="592">
        <f t="shared" ref="H435:R435" si="80">H411</f>
        <v>793.11129633052883</v>
      </c>
      <c r="I435" s="592">
        <f t="shared" si="80"/>
        <v>793.11129633052883</v>
      </c>
      <c r="J435" s="592">
        <f t="shared" si="80"/>
        <v>930.44346132704948</v>
      </c>
      <c r="K435" s="592">
        <f t="shared" si="80"/>
        <v>1080.9251346867663</v>
      </c>
      <c r="L435" s="592">
        <f t="shared" si="80"/>
        <v>1299.3034763522057</v>
      </c>
      <c r="M435" s="592">
        <f t="shared" si="80"/>
        <v>1097.784463109291</v>
      </c>
      <c r="N435" s="592">
        <f t="shared" si="80"/>
        <v>793.11129633052883</v>
      </c>
      <c r="O435" s="592">
        <f t="shared" si="80"/>
        <v>979.62449117717051</v>
      </c>
      <c r="P435" s="592">
        <f t="shared" si="80"/>
        <v>1289.7504343643263</v>
      </c>
      <c r="Q435" s="592">
        <f t="shared" si="80"/>
        <v>1465.0068217062953</v>
      </c>
      <c r="R435" s="592">
        <f t="shared" si="80"/>
        <v>1243.8257980127521</v>
      </c>
      <c r="S435" s="502"/>
      <c r="T435" s="613">
        <f>AVERAGE(G435:R435)</f>
        <v>1104.6328568453528</v>
      </c>
      <c r="U435" s="614" t="s">
        <v>195</v>
      </c>
      <c r="V435" s="18"/>
      <c r="W435" s="8"/>
      <c r="X435" s="574"/>
      <c r="Y435" s="574"/>
      <c r="Z435" s="355"/>
      <c r="AA435" s="355"/>
      <c r="AB435" s="355"/>
      <c r="AC435" s="355"/>
      <c r="AD435" s="355"/>
      <c r="AE435" s="355"/>
      <c r="AF435" s="355"/>
      <c r="AG435" s="355"/>
      <c r="AH435" s="355"/>
      <c r="AI435" s="355"/>
      <c r="AJ435" s="355"/>
      <c r="AK435" s="354"/>
      <c r="AL435" s="354"/>
      <c r="AM435" s="354"/>
      <c r="AN435" s="354"/>
    </row>
    <row r="436" spans="1:40" customFormat="1" x14ac:dyDescent="0.25">
      <c r="A436" s="8"/>
      <c r="B436" s="40"/>
      <c r="C436" s="600"/>
      <c r="D436" s="601"/>
      <c r="E436" s="598">
        <f>H377</f>
        <v>2033</v>
      </c>
      <c r="F436" s="596" t="s">
        <v>188</v>
      </c>
      <c r="G436" s="591">
        <f>G424</f>
        <v>60056.78648602571</v>
      </c>
      <c r="H436" s="591">
        <f t="shared" ref="H436:R436" si="81">H424</f>
        <v>31976.257853443414</v>
      </c>
      <c r="I436" s="591">
        <f t="shared" si="81"/>
        <v>31976.257853443414</v>
      </c>
      <c r="J436" s="591">
        <f t="shared" si="81"/>
        <v>37513.146231931823</v>
      </c>
      <c r="K436" s="591">
        <f t="shared" si="81"/>
        <v>43580.189800508881</v>
      </c>
      <c r="L436" s="591">
        <f t="shared" si="81"/>
        <v>52384.65670825461</v>
      </c>
      <c r="M436" s="591">
        <f t="shared" si="81"/>
        <v>44259.915628862072</v>
      </c>
      <c r="N436" s="591">
        <f t="shared" si="81"/>
        <v>31976.257853443414</v>
      </c>
      <c r="O436" s="591">
        <f t="shared" si="81"/>
        <v>39496.001978989516</v>
      </c>
      <c r="P436" s="591">
        <f t="shared" si="81"/>
        <v>51999.502020252417</v>
      </c>
      <c r="Q436" s="591">
        <f t="shared" si="81"/>
        <v>59065.399906258914</v>
      </c>
      <c r="R436" s="591">
        <f t="shared" si="81"/>
        <v>50147.935890003326</v>
      </c>
      <c r="S436" s="502"/>
      <c r="T436" s="611">
        <f>SUM(G436:R436)</f>
        <v>534432.3082114174</v>
      </c>
      <c r="U436" s="612" t="s">
        <v>194</v>
      </c>
      <c r="V436" s="18"/>
      <c r="W436" s="8"/>
      <c r="X436" s="574"/>
      <c r="Y436" s="574"/>
      <c r="Z436" s="355"/>
      <c r="AA436" s="355"/>
      <c r="AB436" s="355"/>
      <c r="AC436" s="355"/>
      <c r="AD436" s="355"/>
      <c r="AE436" s="355"/>
      <c r="AF436" s="355"/>
      <c r="AG436" s="355"/>
      <c r="AH436" s="355"/>
      <c r="AI436" s="355"/>
      <c r="AJ436" s="355"/>
      <c r="AK436" s="354"/>
      <c r="AL436" s="354"/>
      <c r="AM436" s="354"/>
      <c r="AN436" s="354"/>
    </row>
    <row r="437" spans="1:40" customFormat="1" x14ac:dyDescent="0.25">
      <c r="A437" s="8"/>
      <c r="B437" s="40"/>
      <c r="C437" s="600"/>
      <c r="D437" s="601"/>
      <c r="E437" s="594"/>
      <c r="F437" s="593" t="s">
        <v>189</v>
      </c>
      <c r="G437" s="592">
        <f>G425</f>
        <v>2001.8928828675237</v>
      </c>
      <c r="H437" s="592">
        <f t="shared" ref="H437:R437" si="82">H425</f>
        <v>1065.8752617814471</v>
      </c>
      <c r="I437" s="592">
        <f t="shared" si="82"/>
        <v>1065.8752617814471</v>
      </c>
      <c r="J437" s="592">
        <f t="shared" si="82"/>
        <v>1250.4382077310606</v>
      </c>
      <c r="K437" s="592">
        <f t="shared" si="82"/>
        <v>1452.6729933502961</v>
      </c>
      <c r="L437" s="592">
        <f t="shared" si="82"/>
        <v>1746.1552236084869</v>
      </c>
      <c r="M437" s="592">
        <f t="shared" si="82"/>
        <v>1475.3305209620689</v>
      </c>
      <c r="N437" s="592">
        <f t="shared" si="82"/>
        <v>1065.8752617814471</v>
      </c>
      <c r="O437" s="592">
        <f t="shared" si="82"/>
        <v>1316.5333992996505</v>
      </c>
      <c r="P437" s="592">
        <f t="shared" si="82"/>
        <v>1733.3167340084137</v>
      </c>
      <c r="Q437" s="592">
        <f t="shared" si="82"/>
        <v>1968.8466635419636</v>
      </c>
      <c r="R437" s="592">
        <f t="shared" si="82"/>
        <v>1671.5978630001107</v>
      </c>
      <c r="S437" s="502"/>
      <c r="T437" s="613">
        <f>AVERAGE(G437:R437)</f>
        <v>1484.5341894761596</v>
      </c>
      <c r="U437" s="614" t="s">
        <v>195</v>
      </c>
      <c r="V437" s="18"/>
      <c r="W437" s="8"/>
      <c r="X437" s="574"/>
      <c r="Y437" s="574"/>
      <c r="Z437" s="355"/>
      <c r="AA437" s="355"/>
      <c r="AB437" s="355"/>
      <c r="AC437" s="355"/>
      <c r="AD437" s="355"/>
      <c r="AE437" s="355"/>
      <c r="AF437" s="355"/>
      <c r="AG437" s="355"/>
      <c r="AH437" s="355"/>
      <c r="AI437" s="355"/>
      <c r="AJ437" s="355"/>
      <c r="AK437" s="354"/>
      <c r="AL437" s="354"/>
      <c r="AM437" s="354"/>
      <c r="AN437" s="354"/>
    </row>
    <row r="438" spans="1:40" s="40" customFormat="1" x14ac:dyDescent="0.25">
      <c r="A438" s="219"/>
      <c r="B438" s="219"/>
      <c r="D438" s="602"/>
      <c r="E438" s="603"/>
      <c r="F438" s="116"/>
      <c r="G438" s="116"/>
      <c r="H438" s="604"/>
      <c r="I438" s="605"/>
      <c r="J438" s="606"/>
      <c r="K438" s="607"/>
      <c r="L438" s="608"/>
      <c r="M438" s="116"/>
      <c r="N438" s="116"/>
      <c r="O438" s="116"/>
      <c r="P438" s="116"/>
      <c r="Q438" s="116"/>
      <c r="R438" s="116"/>
      <c r="S438" s="116"/>
      <c r="T438" s="116"/>
      <c r="U438" s="116"/>
      <c r="V438" s="117"/>
    </row>
    <row r="439" spans="1:40" s="40" customFormat="1" x14ac:dyDescent="0.25">
      <c r="A439" s="219"/>
      <c r="B439" s="219"/>
      <c r="D439" s="588"/>
      <c r="E439" s="574"/>
      <c r="H439" s="88"/>
      <c r="I439" s="89"/>
      <c r="J439" s="90"/>
      <c r="K439" s="91"/>
      <c r="L439" s="573"/>
    </row>
    <row r="440" spans="1:40" s="40" customFormat="1" x14ac:dyDescent="0.25">
      <c r="A440" s="219"/>
      <c r="B440" s="219"/>
      <c r="D440" s="588"/>
      <c r="E440" s="574"/>
      <c r="H440" s="88"/>
      <c r="I440" s="89"/>
      <c r="J440" s="90"/>
      <c r="K440" s="91"/>
      <c r="L440" s="573"/>
    </row>
    <row r="441" spans="1:40" s="526" customFormat="1" x14ac:dyDescent="0.25">
      <c r="G441" s="527"/>
      <c r="H441" s="528"/>
      <c r="I441" s="527"/>
      <c r="J441" s="527"/>
      <c r="K441" s="527"/>
      <c r="L441" s="527"/>
      <c r="M441" s="527"/>
      <c r="N441" s="527"/>
      <c r="O441" s="527"/>
      <c r="P441" s="527"/>
      <c r="Q441" s="527"/>
      <c r="R441" s="527"/>
      <c r="S441" s="527"/>
      <c r="T441" s="527"/>
    </row>
    <row r="442" spans="1:40" x14ac:dyDescent="0.25"/>
    <row r="443" spans="1:40" x14ac:dyDescent="0.25">
      <c r="B443" s="983" t="s">
        <v>252</v>
      </c>
      <c r="C443" s="880"/>
      <c r="D443" s="851"/>
      <c r="G443" s="93"/>
      <c r="H443" s="94"/>
      <c r="I443" s="95"/>
      <c r="J443" s="95"/>
      <c r="K443" s="95"/>
      <c r="L443" s="95"/>
      <c r="M443" s="95"/>
      <c r="N443" s="95"/>
      <c r="O443" s="95"/>
      <c r="P443" s="95"/>
      <c r="Q443" s="95"/>
      <c r="R443" s="95"/>
      <c r="S443" s="95"/>
      <c r="T443" s="95"/>
      <c r="U443" s="95"/>
      <c r="V443" s="96"/>
    </row>
    <row r="444" spans="1:40" x14ac:dyDescent="0.25">
      <c r="B444" s="870"/>
      <c r="C444" s="881"/>
      <c r="D444" s="857"/>
      <c r="G444" s="97"/>
      <c r="H444" s="98"/>
      <c r="I444" s="99"/>
      <c r="J444" s="984" t="s">
        <v>44</v>
      </c>
      <c r="K444" s="985"/>
      <c r="L444" s="985"/>
      <c r="M444" s="985"/>
      <c r="N444" s="985"/>
      <c r="O444" s="985"/>
      <c r="P444" s="985"/>
      <c r="Q444" s="985"/>
      <c r="R444" s="985"/>
      <c r="S444" s="985"/>
      <c r="T444" s="966"/>
      <c r="U444" s="830"/>
      <c r="V444" s="100"/>
    </row>
    <row r="445" spans="1:40" ht="15" customHeight="1" x14ac:dyDescent="0.25">
      <c r="G445" s="97"/>
      <c r="H445" s="98"/>
      <c r="I445" s="99"/>
      <c r="J445" s="1001" t="s">
        <v>2</v>
      </c>
      <c r="K445" s="1002"/>
      <c r="L445" s="1001" t="s">
        <v>24</v>
      </c>
      <c r="M445" s="1002"/>
      <c r="N445" s="1001" t="s">
        <v>36</v>
      </c>
      <c r="O445" s="1002"/>
      <c r="P445" s="1001" t="s">
        <v>58</v>
      </c>
      <c r="Q445" s="1002"/>
      <c r="R445" s="1001" t="s">
        <v>278</v>
      </c>
      <c r="S445" s="1002"/>
      <c r="T445" s="988" t="s">
        <v>25</v>
      </c>
      <c r="U445" s="989"/>
      <c r="V445" s="100"/>
    </row>
    <row r="446" spans="1:40" ht="15" customHeight="1" x14ac:dyDescent="0.25">
      <c r="G446" s="97"/>
      <c r="H446" s="98"/>
      <c r="I446" s="99"/>
      <c r="J446" s="990" t="s">
        <v>104</v>
      </c>
      <c r="K446" s="991"/>
      <c r="L446" s="990" t="s">
        <v>104</v>
      </c>
      <c r="M446" s="991"/>
      <c r="N446" s="992"/>
      <c r="O446" s="993"/>
      <c r="P446" s="994" t="s">
        <v>249</v>
      </c>
      <c r="Q446" s="987"/>
      <c r="R446" s="992"/>
      <c r="S446" s="993"/>
      <c r="T446" s="995"/>
      <c r="U446" s="996"/>
      <c r="V446" s="100"/>
    </row>
    <row r="447" spans="1:40" x14ac:dyDescent="0.25">
      <c r="G447" s="97"/>
      <c r="H447" s="98"/>
      <c r="I447" s="99"/>
      <c r="J447" s="378">
        <f>J40</f>
        <v>20</v>
      </c>
      <c r="K447" s="379" t="s">
        <v>105</v>
      </c>
      <c r="L447" s="997" t="str">
        <f>L119</f>
        <v>Field data</v>
      </c>
      <c r="M447" s="998"/>
      <c r="N447" s="999"/>
      <c r="O447" s="1000"/>
      <c r="P447" s="999"/>
      <c r="Q447" s="1000"/>
      <c r="R447" s="999"/>
      <c r="S447" s="1000"/>
      <c r="T447" s="1009"/>
      <c r="U447" s="1010"/>
      <c r="V447" s="100"/>
    </row>
    <row r="448" spans="1:40" x14ac:dyDescent="0.25">
      <c r="D448" s="955"/>
      <c r="E448" s="956"/>
      <c r="G448" s="101"/>
      <c r="H448" s="102" t="s">
        <v>0</v>
      </c>
      <c r="I448" s="99"/>
      <c r="J448" s="99"/>
      <c r="K448" s="99"/>
      <c r="L448" s="99"/>
      <c r="M448" s="99"/>
      <c r="N448" s="99"/>
      <c r="O448" s="99"/>
      <c r="P448" s="99"/>
      <c r="Q448" s="99"/>
      <c r="R448" s="99"/>
      <c r="S448" s="99"/>
      <c r="T448" s="102"/>
      <c r="U448" s="102"/>
      <c r="V448" s="100"/>
    </row>
    <row r="449" spans="1:40" x14ac:dyDescent="0.25">
      <c r="D449" s="956"/>
      <c r="E449" s="956"/>
      <c r="G449" s="97"/>
      <c r="H449" s="103">
        <f>F22</f>
        <v>2013</v>
      </c>
      <c r="I449" s="104"/>
      <c r="J449" s="403">
        <f>J43</f>
        <v>590.14928943539996</v>
      </c>
      <c r="K449" s="105" t="s">
        <v>200</v>
      </c>
      <c r="L449" s="403">
        <f>J122</f>
        <v>0</v>
      </c>
      <c r="M449" s="105" t="s">
        <v>200</v>
      </c>
      <c r="N449" s="403">
        <f>K206</f>
        <v>146.49662222946964</v>
      </c>
      <c r="O449" s="105" t="s">
        <v>200</v>
      </c>
      <c r="P449" s="403">
        <f>K261</f>
        <v>83.27</v>
      </c>
      <c r="Q449" s="105" t="s">
        <v>200</v>
      </c>
      <c r="R449" s="403">
        <f>L449*'6 - Wildlife'!E9</f>
        <v>0</v>
      </c>
      <c r="S449" s="105" t="s">
        <v>200</v>
      </c>
      <c r="T449" s="410">
        <f>SUM(J449,L449,N449,P449,R449)</f>
        <v>819.91591166486955</v>
      </c>
      <c r="U449" s="106" t="s">
        <v>200</v>
      </c>
      <c r="V449" s="100"/>
    </row>
    <row r="450" spans="1:40" x14ac:dyDescent="0.25">
      <c r="G450" s="97"/>
      <c r="H450" s="107"/>
      <c r="I450" s="108"/>
      <c r="J450" s="404"/>
      <c r="K450" s="110"/>
      <c r="L450" s="404"/>
      <c r="M450" s="110"/>
      <c r="N450" s="404"/>
      <c r="O450" s="110"/>
      <c r="P450" s="404"/>
      <c r="Q450" s="396"/>
      <c r="R450" s="404"/>
      <c r="S450" s="396"/>
      <c r="T450" s="411"/>
      <c r="U450" s="399"/>
      <c r="V450" s="100"/>
    </row>
    <row r="451" spans="1:40" x14ac:dyDescent="0.25">
      <c r="G451" s="112"/>
      <c r="H451" s="103">
        <f>F24</f>
        <v>2023</v>
      </c>
      <c r="I451" s="104"/>
      <c r="J451" s="403">
        <f>J45</f>
        <v>793.11129633052883</v>
      </c>
      <c r="K451" s="105" t="s">
        <v>200</v>
      </c>
      <c r="L451" s="403">
        <f>J124</f>
        <v>0</v>
      </c>
      <c r="M451" s="105" t="s">
        <v>200</v>
      </c>
      <c r="N451" s="403">
        <f>K208</f>
        <v>196.87921013277241</v>
      </c>
      <c r="O451" s="105" t="s">
        <v>200</v>
      </c>
      <c r="P451" s="403">
        <f>K263</f>
        <v>111.90791690798501</v>
      </c>
      <c r="Q451" s="105" t="s">
        <v>200</v>
      </c>
      <c r="R451" s="403">
        <f>L451*'6 - Wildlife'!E9</f>
        <v>0</v>
      </c>
      <c r="S451" s="105" t="s">
        <v>200</v>
      </c>
      <c r="T451" s="410">
        <f>SUM(J451,L451,N451,P451,R451)</f>
        <v>1101.8984233712863</v>
      </c>
      <c r="U451" s="106" t="s">
        <v>200</v>
      </c>
      <c r="V451" s="100"/>
    </row>
    <row r="452" spans="1:40" x14ac:dyDescent="0.25">
      <c r="G452" s="97"/>
      <c r="H452" s="107"/>
      <c r="I452" s="108"/>
      <c r="J452" s="405"/>
      <c r="K452" s="110"/>
      <c r="L452" s="404"/>
      <c r="M452" s="110"/>
      <c r="N452" s="404"/>
      <c r="O452" s="110"/>
      <c r="P452" s="404"/>
      <c r="Q452" s="396"/>
      <c r="R452" s="404"/>
      <c r="S452" s="396"/>
      <c r="T452" s="412"/>
      <c r="U452" s="398"/>
      <c r="V452" s="100"/>
    </row>
    <row r="453" spans="1:40" x14ac:dyDescent="0.25">
      <c r="G453" s="112"/>
      <c r="H453" s="103">
        <f>F26</f>
        <v>2033</v>
      </c>
      <c r="I453" s="104"/>
      <c r="J453" s="403">
        <f>J47</f>
        <v>1065.8752617814471</v>
      </c>
      <c r="K453" s="105" t="s">
        <v>200</v>
      </c>
      <c r="L453" s="403">
        <f>J126</f>
        <v>0</v>
      </c>
      <c r="M453" s="105" t="s">
        <v>200</v>
      </c>
      <c r="N453" s="403">
        <f>K210</f>
        <v>264.58919524976602</v>
      </c>
      <c r="O453" s="105" t="s">
        <v>200</v>
      </c>
      <c r="P453" s="403">
        <f>K265</f>
        <v>150.39488251092203</v>
      </c>
      <c r="Q453" s="105" t="s">
        <v>200</v>
      </c>
      <c r="R453" s="403">
        <f>L453*'6 - Wildlife'!E9</f>
        <v>0</v>
      </c>
      <c r="S453" s="105" t="s">
        <v>200</v>
      </c>
      <c r="T453" s="410">
        <f>SUM(J453,L453,N453,P453,R453)</f>
        <v>1480.8593395421351</v>
      </c>
      <c r="U453" s="106" t="s">
        <v>200</v>
      </c>
      <c r="V453" s="100"/>
    </row>
    <row r="454" spans="1:40" x14ac:dyDescent="0.25">
      <c r="G454" s="97"/>
      <c r="H454" s="113"/>
      <c r="I454" s="108"/>
      <c r="J454" s="405"/>
      <c r="K454" s="110"/>
      <c r="L454" s="404"/>
      <c r="M454" s="110"/>
      <c r="N454" s="404"/>
      <c r="O454" s="110"/>
      <c r="P454" s="404"/>
      <c r="Q454" s="396"/>
      <c r="R454" s="404"/>
      <c r="S454" s="396"/>
      <c r="T454" s="412"/>
      <c r="U454" s="398"/>
      <c r="V454" s="100"/>
    </row>
    <row r="455" spans="1:40" x14ac:dyDescent="0.25">
      <c r="G455" s="114"/>
      <c r="H455" s="115"/>
      <c r="I455" s="116"/>
      <c r="J455" s="116"/>
      <c r="K455" s="116"/>
      <c r="L455" s="116"/>
      <c r="M455" s="116"/>
      <c r="N455" s="116"/>
      <c r="O455" s="116"/>
      <c r="P455" s="116"/>
      <c r="Q455" s="116"/>
      <c r="R455" s="116"/>
      <c r="S455" s="116"/>
      <c r="T455" s="116"/>
      <c r="U455" s="116"/>
      <c r="V455" s="117"/>
    </row>
    <row r="456" spans="1:40" x14ac:dyDescent="0.25"/>
    <row r="457" spans="1:40" x14ac:dyDescent="0.25">
      <c r="B457" s="47"/>
      <c r="C457" s="14"/>
      <c r="D457" s="10"/>
      <c r="E457" s="10"/>
      <c r="F457" s="10"/>
      <c r="G457" s="10"/>
      <c r="H457" s="214"/>
      <c r="I457" s="523"/>
      <c r="J457" s="215"/>
      <c r="K457" s="216"/>
      <c r="L457" s="217"/>
      <c r="M457" s="10"/>
      <c r="N457" s="10"/>
      <c r="O457" s="10"/>
      <c r="P457" s="10"/>
      <c r="Q457" s="10"/>
      <c r="R457" s="10"/>
      <c r="S457" s="10"/>
      <c r="T457" s="14"/>
      <c r="U457" s="47"/>
      <c r="V457" s="47"/>
    </row>
    <row r="458" spans="1:40" ht="15" customHeight="1" x14ac:dyDescent="0.25">
      <c r="A458" s="38"/>
      <c r="B458" s="497"/>
      <c r="C458" s="14"/>
      <c r="D458" s="14"/>
      <c r="E458" s="14"/>
      <c r="F458" s="356"/>
      <c r="G458" s="979" t="s">
        <v>248</v>
      </c>
      <c r="H458" s="980"/>
      <c r="I458" s="980"/>
      <c r="J458" s="980"/>
      <c r="K458" s="980"/>
      <c r="L458" s="980"/>
      <c r="M458" s="980"/>
      <c r="N458" s="980"/>
      <c r="O458" s="980"/>
      <c r="P458" s="980"/>
      <c r="Q458" s="980"/>
      <c r="R458" s="981"/>
      <c r="S458" s="14"/>
      <c r="T458" s="982"/>
      <c r="U458" s="918"/>
      <c r="V458" s="47"/>
    </row>
    <row r="459" spans="1:40" s="234" customFormat="1" ht="15" customHeight="1" x14ac:dyDescent="0.25">
      <c r="A459" s="354"/>
      <c r="B459" s="7"/>
      <c r="C459" s="250"/>
      <c r="D459" s="520"/>
      <c r="E459" s="14"/>
      <c r="F459" s="41"/>
      <c r="G459" s="384" t="s">
        <v>92</v>
      </c>
      <c r="H459" s="384" t="s">
        <v>93</v>
      </c>
      <c r="I459" s="384" t="s">
        <v>94</v>
      </c>
      <c r="J459" s="384" t="s">
        <v>95</v>
      </c>
      <c r="K459" s="384" t="s">
        <v>96</v>
      </c>
      <c r="L459" s="384" t="s">
        <v>97</v>
      </c>
      <c r="M459" s="384" t="s">
        <v>98</v>
      </c>
      <c r="N459" s="384" t="s">
        <v>99</v>
      </c>
      <c r="O459" s="384" t="s">
        <v>100</v>
      </c>
      <c r="P459" s="384" t="s">
        <v>101</v>
      </c>
      <c r="Q459" s="384" t="s">
        <v>102</v>
      </c>
      <c r="R459" s="384" t="s">
        <v>103</v>
      </c>
      <c r="S459" s="502"/>
      <c r="T459" s="915" t="s">
        <v>25</v>
      </c>
      <c r="U459" s="918"/>
      <c r="V459" s="7"/>
      <c r="W459" s="354"/>
      <c r="X459" s="355"/>
      <c r="Y459" s="529"/>
      <c r="Z459" s="355"/>
      <c r="AA459" s="355"/>
      <c r="AB459" s="355"/>
      <c r="AC459" s="355"/>
      <c r="AD459" s="355"/>
      <c r="AE459" s="355"/>
      <c r="AF459" s="355"/>
      <c r="AG459" s="355"/>
      <c r="AH459" s="355"/>
      <c r="AI459" s="355"/>
      <c r="AJ459" s="355"/>
      <c r="AK459" s="354"/>
      <c r="AL459" s="354"/>
      <c r="AM459" s="354"/>
      <c r="AN459" s="354"/>
    </row>
    <row r="460" spans="1:40" x14ac:dyDescent="0.25">
      <c r="B460" s="47"/>
      <c r="C460" s="14"/>
      <c r="D460" s="14"/>
      <c r="E460" s="14"/>
      <c r="F460" s="15"/>
      <c r="G460" s="14"/>
      <c r="H460" s="14"/>
      <c r="I460" s="14"/>
      <c r="J460" s="14"/>
      <c r="K460" s="14"/>
      <c r="L460" s="14"/>
      <c r="M460" s="14"/>
      <c r="N460" s="14"/>
      <c r="O460" s="14"/>
      <c r="P460" s="14"/>
      <c r="Q460" s="14"/>
      <c r="R460" s="14"/>
      <c r="S460" s="14"/>
      <c r="T460" s="14"/>
      <c r="U460" s="47"/>
      <c r="V460" s="47"/>
    </row>
    <row r="461" spans="1:40" s="234" customFormat="1" ht="15" customHeight="1" x14ac:dyDescent="0.25">
      <c r="A461" s="354"/>
      <c r="B461" s="7"/>
      <c r="C461" s="498">
        <f>F22</f>
        <v>2013</v>
      </c>
      <c r="D461" s="968" t="str">
        <f>J445</f>
        <v>Basic domestic</v>
      </c>
      <c r="E461" s="1003"/>
      <c r="F461" s="359" t="s">
        <v>188</v>
      </c>
      <c r="G461" s="380">
        <f>G462*30</f>
        <v>17704.478683062</v>
      </c>
      <c r="H461" s="380">
        <f t="shared" ref="H461:R461" si="83">H462*30</f>
        <v>17704.478683062</v>
      </c>
      <c r="I461" s="380">
        <f t="shared" si="83"/>
        <v>17704.478683062</v>
      </c>
      <c r="J461" s="380">
        <f t="shared" si="83"/>
        <v>17704.478683062</v>
      </c>
      <c r="K461" s="380">
        <f t="shared" si="83"/>
        <v>17704.478683062</v>
      </c>
      <c r="L461" s="380">
        <f t="shared" si="83"/>
        <v>17704.478683062</v>
      </c>
      <c r="M461" s="380">
        <f t="shared" si="83"/>
        <v>17704.478683062</v>
      </c>
      <c r="N461" s="380">
        <f t="shared" si="83"/>
        <v>17704.478683062</v>
      </c>
      <c r="O461" s="380">
        <f t="shared" si="83"/>
        <v>17704.478683062</v>
      </c>
      <c r="P461" s="380">
        <f t="shared" si="83"/>
        <v>17704.478683062</v>
      </c>
      <c r="Q461" s="380">
        <f t="shared" si="83"/>
        <v>17704.478683062</v>
      </c>
      <c r="R461" s="380">
        <f t="shared" si="83"/>
        <v>17704.478683062</v>
      </c>
      <c r="S461" s="502"/>
      <c r="T461" s="530">
        <f>SUM(G461:R461)</f>
        <v>212453.74419674405</v>
      </c>
      <c r="U461" s="532" t="s">
        <v>194</v>
      </c>
      <c r="V461" s="7"/>
      <c r="W461" s="354"/>
      <c r="X461" s="529"/>
      <c r="Y461" s="529"/>
      <c r="Z461" s="355"/>
      <c r="AA461" s="355"/>
      <c r="AB461" s="355"/>
      <c r="AC461" s="355"/>
      <c r="AD461" s="355"/>
      <c r="AE461" s="355"/>
      <c r="AF461" s="355"/>
      <c r="AG461" s="355"/>
      <c r="AH461" s="355"/>
      <c r="AI461" s="355"/>
      <c r="AJ461" s="355"/>
      <c r="AK461" s="354"/>
      <c r="AL461" s="354"/>
      <c r="AM461" s="354"/>
      <c r="AN461" s="354"/>
    </row>
    <row r="462" spans="1:40" s="234" customFormat="1" ht="15" customHeight="1" x14ac:dyDescent="0.25">
      <c r="A462" s="354"/>
      <c r="B462" s="7"/>
      <c r="C462" s="499"/>
      <c r="D462" s="525"/>
      <c r="E462" s="313"/>
      <c r="F462" s="495" t="s">
        <v>189</v>
      </c>
      <c r="G462" s="501">
        <f>$J$449</f>
        <v>590.14928943539996</v>
      </c>
      <c r="H462" s="501">
        <f t="shared" ref="H462:R462" si="84">$J$449</f>
        <v>590.14928943539996</v>
      </c>
      <c r="I462" s="501">
        <f t="shared" si="84"/>
        <v>590.14928943539996</v>
      </c>
      <c r="J462" s="501">
        <f t="shared" si="84"/>
        <v>590.14928943539996</v>
      </c>
      <c r="K462" s="501">
        <f t="shared" si="84"/>
        <v>590.14928943539996</v>
      </c>
      <c r="L462" s="501">
        <f t="shared" si="84"/>
        <v>590.14928943539996</v>
      </c>
      <c r="M462" s="501">
        <f t="shared" si="84"/>
        <v>590.14928943539996</v>
      </c>
      <c r="N462" s="501">
        <f t="shared" si="84"/>
        <v>590.14928943539996</v>
      </c>
      <c r="O462" s="501">
        <f t="shared" si="84"/>
        <v>590.14928943539996</v>
      </c>
      <c r="P462" s="501">
        <f t="shared" si="84"/>
        <v>590.14928943539996</v>
      </c>
      <c r="Q462" s="501">
        <f t="shared" si="84"/>
        <v>590.14928943539996</v>
      </c>
      <c r="R462" s="501">
        <f t="shared" si="84"/>
        <v>590.14928943539996</v>
      </c>
      <c r="S462" s="502"/>
      <c r="T462" s="534">
        <f>AVERAGE(G462:R462)</f>
        <v>590.14928943539985</v>
      </c>
      <c r="U462" s="535" t="s">
        <v>195</v>
      </c>
      <c r="V462" s="7"/>
      <c r="W462" s="354"/>
      <c r="X462" s="529"/>
      <c r="Y462" s="529"/>
      <c r="Z462" s="355"/>
      <c r="AA462" s="355"/>
      <c r="AB462" s="355"/>
      <c r="AC462" s="355"/>
      <c r="AD462" s="355"/>
      <c r="AE462" s="355"/>
      <c r="AF462" s="355"/>
      <c r="AG462" s="355"/>
      <c r="AH462" s="355"/>
      <c r="AI462" s="355"/>
      <c r="AJ462" s="355"/>
      <c r="AK462" s="354"/>
      <c r="AL462" s="354"/>
      <c r="AM462" s="354"/>
      <c r="AN462" s="354"/>
    </row>
    <row r="463" spans="1:40" s="234" customFormat="1" ht="15" customHeight="1" x14ac:dyDescent="0.25">
      <c r="A463" s="354"/>
      <c r="B463" s="7"/>
      <c r="C463" s="499"/>
      <c r="D463" s="968" t="str">
        <f>L445</f>
        <v>Livestock</v>
      </c>
      <c r="E463" s="1003"/>
      <c r="F463" s="359" t="s">
        <v>188</v>
      </c>
      <c r="G463" s="380">
        <f>G464*30</f>
        <v>0</v>
      </c>
      <c r="H463" s="380">
        <f t="shared" ref="H463:R463" si="85">H464*30</f>
        <v>0</v>
      </c>
      <c r="I463" s="380">
        <f t="shared" si="85"/>
        <v>0</v>
      </c>
      <c r="J463" s="380">
        <f t="shared" si="85"/>
        <v>0</v>
      </c>
      <c r="K463" s="380">
        <f t="shared" si="85"/>
        <v>0</v>
      </c>
      <c r="L463" s="380">
        <f t="shared" si="85"/>
        <v>0</v>
      </c>
      <c r="M463" s="380">
        <f t="shared" si="85"/>
        <v>0</v>
      </c>
      <c r="N463" s="380">
        <f t="shared" si="85"/>
        <v>0</v>
      </c>
      <c r="O463" s="380">
        <f t="shared" si="85"/>
        <v>0</v>
      </c>
      <c r="P463" s="380">
        <f t="shared" si="85"/>
        <v>0</v>
      </c>
      <c r="Q463" s="380">
        <f t="shared" si="85"/>
        <v>0</v>
      </c>
      <c r="R463" s="380">
        <f t="shared" si="85"/>
        <v>0</v>
      </c>
      <c r="S463" s="502"/>
      <c r="T463" s="530">
        <f>SUM(G463:R463)</f>
        <v>0</v>
      </c>
      <c r="U463" s="532" t="s">
        <v>194</v>
      </c>
      <c r="V463" s="7"/>
      <c r="W463" s="354"/>
      <c r="X463" s="529"/>
      <c r="Y463" s="529"/>
      <c r="Z463" s="355"/>
      <c r="AA463" s="355"/>
      <c r="AB463" s="355"/>
      <c r="AC463" s="355"/>
      <c r="AD463" s="355"/>
      <c r="AE463" s="355"/>
      <c r="AF463" s="355"/>
      <c r="AG463" s="355"/>
      <c r="AH463" s="355"/>
      <c r="AI463" s="355"/>
      <c r="AJ463" s="355"/>
      <c r="AK463" s="354"/>
      <c r="AL463" s="354"/>
      <c r="AM463" s="354"/>
      <c r="AN463" s="354"/>
    </row>
    <row r="464" spans="1:40" s="234" customFormat="1" ht="15" customHeight="1" x14ac:dyDescent="0.25">
      <c r="A464" s="354"/>
      <c r="B464" s="7"/>
      <c r="C464" s="499"/>
      <c r="D464" s="1004" t="str">
        <f>L447</f>
        <v>Field data</v>
      </c>
      <c r="E464" s="1005"/>
      <c r="F464" s="495" t="s">
        <v>189</v>
      </c>
      <c r="G464" s="501">
        <f>$J$122</f>
        <v>0</v>
      </c>
      <c r="H464" s="501">
        <f t="shared" ref="H464:R464" si="86">$J$122</f>
        <v>0</v>
      </c>
      <c r="I464" s="501">
        <f t="shared" si="86"/>
        <v>0</v>
      </c>
      <c r="J464" s="501">
        <f t="shared" si="86"/>
        <v>0</v>
      </c>
      <c r="K464" s="501">
        <f t="shared" si="86"/>
        <v>0</v>
      </c>
      <c r="L464" s="501">
        <f t="shared" si="86"/>
        <v>0</v>
      </c>
      <c r="M464" s="501">
        <f t="shared" si="86"/>
        <v>0</v>
      </c>
      <c r="N464" s="501">
        <f t="shared" si="86"/>
        <v>0</v>
      </c>
      <c r="O464" s="501">
        <f t="shared" si="86"/>
        <v>0</v>
      </c>
      <c r="P464" s="501">
        <f t="shared" si="86"/>
        <v>0</v>
      </c>
      <c r="Q464" s="501">
        <f t="shared" si="86"/>
        <v>0</v>
      </c>
      <c r="R464" s="501">
        <f t="shared" si="86"/>
        <v>0</v>
      </c>
      <c r="S464" s="502"/>
      <c r="T464" s="534">
        <f>AVERAGE(G464:R464)</f>
        <v>0</v>
      </c>
      <c r="U464" s="535" t="s">
        <v>195</v>
      </c>
      <c r="V464" s="7"/>
      <c r="W464" s="354"/>
      <c r="X464" s="529"/>
      <c r="Y464" s="529"/>
      <c r="Z464" s="355"/>
      <c r="AA464" s="355"/>
      <c r="AB464" s="355"/>
      <c r="AC464" s="355"/>
      <c r="AD464" s="355"/>
      <c r="AE464" s="355"/>
      <c r="AF464" s="355"/>
      <c r="AG464" s="355"/>
      <c r="AH464" s="355"/>
      <c r="AI464" s="355"/>
      <c r="AJ464" s="355"/>
      <c r="AK464" s="354"/>
      <c r="AL464" s="354"/>
      <c r="AM464" s="354"/>
      <c r="AN464" s="354"/>
    </row>
    <row r="465" spans="1:40" s="234" customFormat="1" ht="15" customHeight="1" x14ac:dyDescent="0.25">
      <c r="A465" s="354"/>
      <c r="B465" s="7"/>
      <c r="C465" s="499"/>
      <c r="D465" s="968" t="str">
        <f>N445</f>
        <v>Agriculture</v>
      </c>
      <c r="E465" s="1003"/>
      <c r="F465" s="359" t="s">
        <v>188</v>
      </c>
      <c r="G465" s="380">
        <f t="shared" ref="G465:R466" si="87">I192</f>
        <v>11384.007868595978</v>
      </c>
      <c r="H465" s="380">
        <f t="shared" si="87"/>
        <v>0</v>
      </c>
      <c r="I465" s="380">
        <f t="shared" si="87"/>
        <v>0</v>
      </c>
      <c r="J465" s="380">
        <f t="shared" si="87"/>
        <v>3065.6408488051215</v>
      </c>
      <c r="K465" s="380">
        <f t="shared" si="87"/>
        <v>6424.8157723183795</v>
      </c>
      <c r="L465" s="380">
        <f t="shared" si="87"/>
        <v>11299.635627673124</v>
      </c>
      <c r="M465" s="380">
        <f t="shared" si="87"/>
        <v>6801.1634829717614</v>
      </c>
      <c r="N465" s="380">
        <f t="shared" si="87"/>
        <v>0</v>
      </c>
      <c r="O465" s="380">
        <f t="shared" si="87"/>
        <v>0</v>
      </c>
      <c r="P465" s="380">
        <f t="shared" si="87"/>
        <v>4424.7848153151044</v>
      </c>
      <c r="Q465" s="380">
        <f t="shared" si="87"/>
        <v>6671.6011563533839</v>
      </c>
      <c r="R465" s="380">
        <f t="shared" si="87"/>
        <v>3399.6175417235645</v>
      </c>
      <c r="S465" s="502"/>
      <c r="T465" s="530">
        <f>SUM(G465:R465)</f>
        <v>53471.267113756418</v>
      </c>
      <c r="U465" s="532" t="s">
        <v>194</v>
      </c>
      <c r="V465" s="7"/>
      <c r="W465" s="354"/>
      <c r="X465" s="529"/>
      <c r="Y465" s="529"/>
      <c r="Z465" s="355"/>
      <c r="AA465" s="355"/>
      <c r="AB465" s="355"/>
      <c r="AC465" s="355"/>
      <c r="AD465" s="355"/>
      <c r="AE465" s="355"/>
      <c r="AF465" s="355"/>
      <c r="AG465" s="355"/>
      <c r="AH465" s="355"/>
      <c r="AI465" s="355"/>
      <c r="AJ465" s="355"/>
      <c r="AK465" s="354"/>
      <c r="AL465" s="354"/>
      <c r="AM465" s="354"/>
      <c r="AN465" s="354"/>
    </row>
    <row r="466" spans="1:40" s="234" customFormat="1" ht="15" customHeight="1" x14ac:dyDescent="0.25">
      <c r="A466" s="354"/>
      <c r="B466" s="7"/>
      <c r="C466" s="499"/>
      <c r="D466" s="525"/>
      <c r="E466" s="313"/>
      <c r="F466" s="495" t="s">
        <v>189</v>
      </c>
      <c r="G466" s="501">
        <f t="shared" si="87"/>
        <v>379.46692895319927</v>
      </c>
      <c r="H466" s="501">
        <f t="shared" si="87"/>
        <v>0</v>
      </c>
      <c r="I466" s="501">
        <f t="shared" si="87"/>
        <v>0</v>
      </c>
      <c r="J466" s="501">
        <f t="shared" si="87"/>
        <v>102.18802829350405</v>
      </c>
      <c r="K466" s="501">
        <f t="shared" si="87"/>
        <v>214.16052574394598</v>
      </c>
      <c r="L466" s="501">
        <f t="shared" si="87"/>
        <v>376.65452092243748</v>
      </c>
      <c r="M466" s="501">
        <f t="shared" si="87"/>
        <v>226.70544943239204</v>
      </c>
      <c r="N466" s="501">
        <f t="shared" si="87"/>
        <v>0</v>
      </c>
      <c r="O466" s="501">
        <f t="shared" si="87"/>
        <v>0</v>
      </c>
      <c r="P466" s="501">
        <f t="shared" si="87"/>
        <v>147.49282717717014</v>
      </c>
      <c r="Q466" s="501">
        <f t="shared" si="87"/>
        <v>222.38670521177946</v>
      </c>
      <c r="R466" s="501">
        <f t="shared" si="87"/>
        <v>113.32058472411882</v>
      </c>
      <c r="S466" s="502"/>
      <c r="T466" s="534">
        <f>AVERAGE(G466:R466)</f>
        <v>148.53129753821227</v>
      </c>
      <c r="U466" s="535" t="s">
        <v>195</v>
      </c>
      <c r="V466" s="7"/>
      <c r="W466" s="354"/>
      <c r="X466" s="529"/>
      <c r="Y466" s="529"/>
      <c r="Z466" s="355"/>
      <c r="AA466" s="355"/>
      <c r="AB466" s="355"/>
      <c r="AC466" s="355"/>
      <c r="AD466" s="355"/>
      <c r="AE466" s="355"/>
      <c r="AF466" s="355"/>
      <c r="AG466" s="355"/>
      <c r="AH466" s="355"/>
      <c r="AI466" s="355"/>
      <c r="AJ466" s="355"/>
      <c r="AK466" s="354"/>
      <c r="AL466" s="354"/>
      <c r="AM466" s="354"/>
      <c r="AN466" s="354"/>
    </row>
    <row r="467" spans="1:40" s="234" customFormat="1" ht="15" customHeight="1" x14ac:dyDescent="0.25">
      <c r="A467" s="354"/>
      <c r="B467" s="7"/>
      <c r="C467" s="499"/>
      <c r="D467" s="967" t="str">
        <f>P445</f>
        <v>Seasonal livestock</v>
      </c>
      <c r="E467" s="1003"/>
      <c r="F467" s="359" t="s">
        <v>188</v>
      </c>
      <c r="G467" s="494">
        <f>I247</f>
        <v>4163.5</v>
      </c>
      <c r="H467" s="494">
        <f t="shared" ref="H467:R467" si="88">J247</f>
        <v>0</v>
      </c>
      <c r="I467" s="494">
        <f t="shared" si="88"/>
        <v>0</v>
      </c>
      <c r="J467" s="494">
        <f t="shared" si="88"/>
        <v>0</v>
      </c>
      <c r="K467" s="494">
        <f t="shared" si="88"/>
        <v>0</v>
      </c>
      <c r="L467" s="494">
        <f t="shared" si="88"/>
        <v>0</v>
      </c>
      <c r="M467" s="494">
        <f t="shared" si="88"/>
        <v>0</v>
      </c>
      <c r="N467" s="494">
        <f t="shared" si="88"/>
        <v>0</v>
      </c>
      <c r="O467" s="494">
        <f t="shared" si="88"/>
        <v>4163.5</v>
      </c>
      <c r="P467" s="494">
        <f t="shared" si="88"/>
        <v>6661.6</v>
      </c>
      <c r="Q467" s="494">
        <f t="shared" si="88"/>
        <v>8327</v>
      </c>
      <c r="R467" s="494">
        <f t="shared" si="88"/>
        <v>6661.6</v>
      </c>
      <c r="S467" s="502"/>
      <c r="T467" s="530">
        <f>SUM(G467:R467)</f>
        <v>29977.199999999997</v>
      </c>
      <c r="U467" s="532" t="s">
        <v>194</v>
      </c>
      <c r="V467" s="7"/>
      <c r="W467" s="354"/>
      <c r="X467" s="574"/>
      <c r="Y467" s="574"/>
      <c r="Z467" s="355"/>
      <c r="AA467" s="355"/>
      <c r="AB467" s="355"/>
      <c r="AC467" s="355"/>
      <c r="AD467" s="355"/>
      <c r="AE467" s="355"/>
      <c r="AF467" s="355"/>
      <c r="AG467" s="355"/>
      <c r="AH467" s="355"/>
      <c r="AI467" s="355"/>
      <c r="AJ467" s="355"/>
      <c r="AK467" s="354"/>
      <c r="AL467" s="354"/>
      <c r="AM467" s="354"/>
      <c r="AN467" s="354"/>
    </row>
    <row r="468" spans="1:40" s="234" customFormat="1" ht="15" customHeight="1" x14ac:dyDescent="0.25">
      <c r="A468" s="354"/>
      <c r="B468" s="7"/>
      <c r="C468" s="499"/>
      <c r="D468" s="496"/>
      <c r="E468" s="571"/>
      <c r="F468" s="360" t="s">
        <v>189</v>
      </c>
      <c r="G468" s="381">
        <f>I248</f>
        <v>138.78333333333333</v>
      </c>
      <c r="H468" s="381">
        <f t="shared" ref="H468:R468" si="89">J248</f>
        <v>0</v>
      </c>
      <c r="I468" s="381">
        <f t="shared" si="89"/>
        <v>0</v>
      </c>
      <c r="J468" s="381">
        <f t="shared" si="89"/>
        <v>0</v>
      </c>
      <c r="K468" s="381">
        <f t="shared" si="89"/>
        <v>0</v>
      </c>
      <c r="L468" s="381">
        <f t="shared" si="89"/>
        <v>0</v>
      </c>
      <c r="M468" s="381">
        <f t="shared" si="89"/>
        <v>0</v>
      </c>
      <c r="N468" s="381">
        <f t="shared" si="89"/>
        <v>0</v>
      </c>
      <c r="O468" s="381">
        <f t="shared" si="89"/>
        <v>138.78333333333333</v>
      </c>
      <c r="P468" s="381">
        <f t="shared" si="89"/>
        <v>222.05333333333334</v>
      </c>
      <c r="Q468" s="381">
        <f t="shared" si="89"/>
        <v>277.56666666666666</v>
      </c>
      <c r="R468" s="381">
        <f t="shared" si="89"/>
        <v>222.05333333333334</v>
      </c>
      <c r="S468" s="502"/>
      <c r="T468" s="531">
        <f>AVERAGE(G468:R468)</f>
        <v>83.27</v>
      </c>
      <c r="U468" s="533" t="s">
        <v>195</v>
      </c>
      <c r="V468" s="7"/>
      <c r="W468" s="354"/>
      <c r="X468" s="574"/>
      <c r="Y468" s="574"/>
      <c r="Z468" s="355"/>
      <c r="AA468" s="355"/>
      <c r="AB468" s="355"/>
      <c r="AC468" s="355"/>
      <c r="AD468" s="355"/>
      <c r="AE468" s="355"/>
      <c r="AF468" s="355"/>
      <c r="AG468" s="355"/>
      <c r="AH468" s="355"/>
      <c r="AI468" s="355"/>
      <c r="AJ468" s="355"/>
      <c r="AK468" s="354"/>
      <c r="AL468" s="354"/>
      <c r="AM468" s="354"/>
      <c r="AN468" s="354"/>
    </row>
    <row r="469" spans="1:40" s="234" customFormat="1" ht="15" customHeight="1" x14ac:dyDescent="0.25">
      <c r="A469" s="354"/>
      <c r="B469" s="7"/>
      <c r="C469" s="499"/>
      <c r="D469" s="967" t="str">
        <f>R445</f>
        <v>Wildlife</v>
      </c>
      <c r="E469" s="1003"/>
      <c r="F469" s="359" t="s">
        <v>188</v>
      </c>
      <c r="G469" s="494">
        <f>G470*30</f>
        <v>0</v>
      </c>
      <c r="H469" s="494">
        <f t="shared" ref="H469:R469" si="90">H470*30</f>
        <v>0</v>
      </c>
      <c r="I469" s="494">
        <f t="shared" si="90"/>
        <v>0</v>
      </c>
      <c r="J469" s="494">
        <f t="shared" si="90"/>
        <v>0</v>
      </c>
      <c r="K469" s="494">
        <f t="shared" si="90"/>
        <v>0</v>
      </c>
      <c r="L469" s="494">
        <f t="shared" si="90"/>
        <v>0</v>
      </c>
      <c r="M469" s="494">
        <f t="shared" si="90"/>
        <v>0</v>
      </c>
      <c r="N469" s="494">
        <f t="shared" si="90"/>
        <v>0</v>
      </c>
      <c r="O469" s="494">
        <f t="shared" si="90"/>
        <v>0</v>
      </c>
      <c r="P469" s="494">
        <f t="shared" si="90"/>
        <v>0</v>
      </c>
      <c r="Q469" s="494">
        <f t="shared" si="90"/>
        <v>0</v>
      </c>
      <c r="R469" s="494">
        <f t="shared" si="90"/>
        <v>0</v>
      </c>
      <c r="S469" s="502"/>
      <c r="T469" s="530">
        <f>SUM(G469:R469)</f>
        <v>0</v>
      </c>
      <c r="U469" s="532" t="s">
        <v>194</v>
      </c>
      <c r="V469" s="7"/>
      <c r="W469" s="354"/>
      <c r="X469" s="529"/>
      <c r="Y469" s="529"/>
      <c r="Z469" s="355"/>
      <c r="AA469" s="355"/>
      <c r="AB469" s="355"/>
      <c r="AC469" s="355"/>
      <c r="AD469" s="355"/>
      <c r="AE469" s="355"/>
      <c r="AF469" s="355"/>
      <c r="AG469" s="355"/>
      <c r="AH469" s="355"/>
      <c r="AI469" s="355"/>
      <c r="AJ469" s="355"/>
      <c r="AK469" s="354"/>
      <c r="AL469" s="354"/>
      <c r="AM469" s="354"/>
      <c r="AN469" s="354"/>
    </row>
    <row r="470" spans="1:40" s="234" customFormat="1" x14ac:dyDescent="0.25">
      <c r="A470" s="354"/>
      <c r="B470" s="7"/>
      <c r="C470" s="500"/>
      <c r="D470" s="496"/>
      <c r="E470" s="553"/>
      <c r="F470" s="360" t="s">
        <v>189</v>
      </c>
      <c r="G470" s="381">
        <f>$R$449</f>
        <v>0</v>
      </c>
      <c r="H470" s="381">
        <f t="shared" ref="H470:R470" si="91">$R$449</f>
        <v>0</v>
      </c>
      <c r="I470" s="381">
        <f t="shared" si="91"/>
        <v>0</v>
      </c>
      <c r="J470" s="381">
        <f t="shared" si="91"/>
        <v>0</v>
      </c>
      <c r="K470" s="381">
        <f t="shared" si="91"/>
        <v>0</v>
      </c>
      <c r="L470" s="381">
        <f t="shared" si="91"/>
        <v>0</v>
      </c>
      <c r="M470" s="381">
        <f t="shared" si="91"/>
        <v>0</v>
      </c>
      <c r="N470" s="381">
        <f t="shared" si="91"/>
        <v>0</v>
      </c>
      <c r="O470" s="381">
        <f t="shared" si="91"/>
        <v>0</v>
      </c>
      <c r="P470" s="381">
        <f t="shared" si="91"/>
        <v>0</v>
      </c>
      <c r="Q470" s="381">
        <f t="shared" si="91"/>
        <v>0</v>
      </c>
      <c r="R470" s="381">
        <f t="shared" si="91"/>
        <v>0</v>
      </c>
      <c r="S470" s="502"/>
      <c r="T470" s="531">
        <f>AVERAGE(G470:R470)</f>
        <v>0</v>
      </c>
      <c r="U470" s="533" t="s">
        <v>195</v>
      </c>
      <c r="V470" s="7"/>
      <c r="W470" s="354"/>
      <c r="X470" s="529"/>
      <c r="Y470" s="529"/>
      <c r="Z470" s="355"/>
      <c r="AA470" s="355"/>
      <c r="AB470" s="355"/>
      <c r="AC470" s="355"/>
      <c r="AD470" s="355"/>
      <c r="AE470" s="355"/>
      <c r="AF470" s="355"/>
      <c r="AG470" s="355"/>
      <c r="AH470" s="355"/>
      <c r="AI470" s="355"/>
      <c r="AJ470" s="355"/>
      <c r="AK470" s="354"/>
      <c r="AL470" s="354"/>
      <c r="AM470" s="354"/>
      <c r="AN470" s="354"/>
    </row>
    <row r="471" spans="1:40" s="234" customFormat="1" x14ac:dyDescent="0.25">
      <c r="A471" s="354"/>
      <c r="B471" s="7"/>
      <c r="C471" s="313"/>
      <c r="D471" s="525"/>
      <c r="E471" s="237"/>
      <c r="F471" s="213"/>
      <c r="G471" s="509"/>
      <c r="H471" s="509"/>
      <c r="I471" s="509"/>
      <c r="J471" s="509"/>
      <c r="K471" s="509"/>
      <c r="L471" s="509"/>
      <c r="M471" s="509"/>
      <c r="N471" s="509"/>
      <c r="O471" s="509"/>
      <c r="P471" s="509"/>
      <c r="Q471" s="509"/>
      <c r="R471" s="509"/>
      <c r="S471" s="502"/>
      <c r="T471" s="509"/>
      <c r="U471" s="502"/>
      <c r="V471" s="7"/>
      <c r="W471" s="354"/>
      <c r="X471" s="529"/>
      <c r="Y471" s="529"/>
      <c r="Z471" s="355"/>
      <c r="AA471" s="355"/>
      <c r="AB471" s="355"/>
      <c r="AC471" s="355"/>
      <c r="AD471" s="355"/>
      <c r="AE471" s="355"/>
      <c r="AF471" s="355"/>
      <c r="AG471" s="355"/>
      <c r="AH471" s="355"/>
      <c r="AI471" s="355"/>
      <c r="AJ471" s="355"/>
      <c r="AK471" s="354"/>
      <c r="AL471" s="354"/>
      <c r="AM471" s="354"/>
      <c r="AN471" s="354"/>
    </row>
    <row r="472" spans="1:40" s="234" customFormat="1" x14ac:dyDescent="0.25">
      <c r="A472" s="354"/>
      <c r="B472" s="7"/>
      <c r="C472" s="498">
        <f>F22</f>
        <v>2013</v>
      </c>
      <c r="D472" s="1008" t="s">
        <v>25</v>
      </c>
      <c r="E472" s="940"/>
      <c r="F472" s="503" t="s">
        <v>188</v>
      </c>
      <c r="G472" s="512">
        <f>G461+G463+G465+G469+G467</f>
        <v>33251.986551657974</v>
      </c>
      <c r="H472" s="512">
        <f t="shared" ref="H472:R472" si="92">H461+H463+H465+H469+H467</f>
        <v>17704.478683062</v>
      </c>
      <c r="I472" s="512">
        <f t="shared" si="92"/>
        <v>17704.478683062</v>
      </c>
      <c r="J472" s="512">
        <f t="shared" si="92"/>
        <v>20770.11953186712</v>
      </c>
      <c r="K472" s="512">
        <f t="shared" si="92"/>
        <v>24129.294455380379</v>
      </c>
      <c r="L472" s="512">
        <f t="shared" si="92"/>
        <v>29004.114310735124</v>
      </c>
      <c r="M472" s="512">
        <f t="shared" si="92"/>
        <v>24505.642166033762</v>
      </c>
      <c r="N472" s="512">
        <f t="shared" si="92"/>
        <v>17704.478683062</v>
      </c>
      <c r="O472" s="512">
        <f t="shared" si="92"/>
        <v>21867.978683062</v>
      </c>
      <c r="P472" s="512">
        <f t="shared" si="92"/>
        <v>28790.863498377104</v>
      </c>
      <c r="Q472" s="512">
        <f t="shared" si="92"/>
        <v>32703.079839415383</v>
      </c>
      <c r="R472" s="512">
        <f t="shared" si="92"/>
        <v>27765.696224785563</v>
      </c>
      <c r="S472" s="502"/>
      <c r="T472" s="530">
        <f>SUM(G472:R472)</f>
        <v>295902.21131050045</v>
      </c>
      <c r="U472" s="532" t="s">
        <v>194</v>
      </c>
      <c r="V472" s="7"/>
      <c r="W472" s="354"/>
      <c r="X472" s="529"/>
      <c r="Y472" s="529"/>
      <c r="Z472" s="355"/>
      <c r="AA472" s="355"/>
      <c r="AB472" s="355"/>
      <c r="AC472" s="355"/>
      <c r="AD472" s="355"/>
      <c r="AE472" s="355"/>
      <c r="AF472" s="355"/>
      <c r="AG472" s="355"/>
      <c r="AH472" s="355"/>
      <c r="AI472" s="355"/>
      <c r="AJ472" s="355"/>
      <c r="AK472" s="354"/>
      <c r="AL472" s="354"/>
      <c r="AM472" s="354"/>
      <c r="AN472" s="354"/>
    </row>
    <row r="473" spans="1:40" s="234" customFormat="1" x14ac:dyDescent="0.25">
      <c r="A473" s="354"/>
      <c r="B473" s="7"/>
      <c r="C473" s="500"/>
      <c r="D473" s="516"/>
      <c r="E473" s="514"/>
      <c r="F473" s="506" t="s">
        <v>189</v>
      </c>
      <c r="G473" s="515">
        <f>G462+G464+G466+G470+G468</f>
        <v>1108.3995517219325</v>
      </c>
      <c r="H473" s="515">
        <f t="shared" ref="H473:R473" si="93">H462+H464+H466+H470+H468</f>
        <v>590.14928943539996</v>
      </c>
      <c r="I473" s="515">
        <f t="shared" si="93"/>
        <v>590.14928943539996</v>
      </c>
      <c r="J473" s="515">
        <f t="shared" si="93"/>
        <v>692.33731772890405</v>
      </c>
      <c r="K473" s="515">
        <f t="shared" si="93"/>
        <v>804.30981517934595</v>
      </c>
      <c r="L473" s="515">
        <f t="shared" si="93"/>
        <v>966.80381035783739</v>
      </c>
      <c r="M473" s="515">
        <f t="shared" si="93"/>
        <v>816.85473886779198</v>
      </c>
      <c r="N473" s="515">
        <f t="shared" si="93"/>
        <v>590.14928943539996</v>
      </c>
      <c r="O473" s="515">
        <f t="shared" si="93"/>
        <v>728.93262276873327</v>
      </c>
      <c r="P473" s="515">
        <f t="shared" si="93"/>
        <v>959.69544994590342</v>
      </c>
      <c r="Q473" s="515">
        <f t="shared" si="93"/>
        <v>1090.1026613138461</v>
      </c>
      <c r="R473" s="515">
        <f t="shared" si="93"/>
        <v>925.52320749285218</v>
      </c>
      <c r="S473" s="502"/>
      <c r="T473" s="531">
        <f>AVERAGE(G473:R473)</f>
        <v>821.95058697361219</v>
      </c>
      <c r="U473" s="533" t="s">
        <v>195</v>
      </c>
      <c r="V473" s="7"/>
      <c r="W473" s="354"/>
      <c r="X473" s="529"/>
      <c r="Y473" s="529"/>
      <c r="Z473" s="355"/>
      <c r="AA473" s="355"/>
      <c r="AB473" s="355"/>
      <c r="AC473" s="355"/>
      <c r="AD473" s="355"/>
      <c r="AE473" s="355"/>
      <c r="AF473" s="355"/>
      <c r="AG473" s="355"/>
      <c r="AH473" s="355"/>
      <c r="AI473" s="355"/>
      <c r="AJ473" s="355"/>
      <c r="AK473" s="354"/>
      <c r="AL473" s="354"/>
      <c r="AM473" s="354"/>
      <c r="AN473" s="354"/>
    </row>
    <row r="474" spans="1:40" s="234" customFormat="1" x14ac:dyDescent="0.25">
      <c r="A474" s="354"/>
      <c r="B474" s="7"/>
      <c r="C474" s="313"/>
      <c r="D474" s="504"/>
      <c r="E474" s="505"/>
      <c r="F474" s="510"/>
      <c r="G474" s="511"/>
      <c r="H474" s="511"/>
      <c r="I474" s="511"/>
      <c r="J474" s="511"/>
      <c r="K474" s="511"/>
      <c r="L474" s="511"/>
      <c r="M474" s="511"/>
      <c r="N474" s="511"/>
      <c r="O474" s="511"/>
      <c r="P474" s="511"/>
      <c r="Q474" s="511"/>
      <c r="R474" s="511"/>
      <c r="S474" s="502"/>
      <c r="T474" s="511"/>
      <c r="U474" s="502"/>
      <c r="V474" s="7"/>
      <c r="W474" s="354"/>
      <c r="X474" s="529"/>
      <c r="Y474" s="529"/>
      <c r="Z474" s="355"/>
      <c r="AA474" s="355"/>
      <c r="AB474" s="355"/>
      <c r="AC474" s="355"/>
      <c r="AD474" s="355"/>
      <c r="AE474" s="355"/>
      <c r="AF474" s="355"/>
      <c r="AG474" s="355"/>
      <c r="AH474" s="355"/>
      <c r="AI474" s="355"/>
      <c r="AJ474" s="355"/>
      <c r="AK474" s="354"/>
      <c r="AL474" s="354"/>
      <c r="AM474" s="354"/>
      <c r="AN474" s="354"/>
    </row>
    <row r="475" spans="1:40" s="234" customFormat="1" ht="15" customHeight="1" x14ac:dyDescent="0.25">
      <c r="A475" s="354"/>
      <c r="B475" s="7"/>
      <c r="C475" s="498">
        <f>F24</f>
        <v>2023</v>
      </c>
      <c r="D475" s="968" t="str">
        <f>J445</f>
        <v>Basic domestic</v>
      </c>
      <c r="E475" s="1003"/>
      <c r="F475" s="359" t="s">
        <v>188</v>
      </c>
      <c r="G475" s="380">
        <f>G476*30</f>
        <v>23793.338889915864</v>
      </c>
      <c r="H475" s="380">
        <f t="shared" ref="H475:R475" si="94">H476*30</f>
        <v>23793.338889915864</v>
      </c>
      <c r="I475" s="380">
        <f t="shared" si="94"/>
        <v>23793.338889915864</v>
      </c>
      <c r="J475" s="380">
        <f t="shared" si="94"/>
        <v>23793.338889915864</v>
      </c>
      <c r="K475" s="380">
        <f t="shared" si="94"/>
        <v>23793.338889915864</v>
      </c>
      <c r="L475" s="380">
        <f t="shared" si="94"/>
        <v>23793.338889915864</v>
      </c>
      <c r="M475" s="380">
        <f t="shared" si="94"/>
        <v>23793.338889915864</v>
      </c>
      <c r="N475" s="380">
        <f t="shared" si="94"/>
        <v>23793.338889915864</v>
      </c>
      <c r="O475" s="380">
        <f t="shared" si="94"/>
        <v>23793.338889915864</v>
      </c>
      <c r="P475" s="380">
        <f t="shared" si="94"/>
        <v>23793.338889915864</v>
      </c>
      <c r="Q475" s="380">
        <f t="shared" si="94"/>
        <v>23793.338889915864</v>
      </c>
      <c r="R475" s="380">
        <f t="shared" si="94"/>
        <v>23793.338889915864</v>
      </c>
      <c r="S475" s="502"/>
      <c r="T475" s="537">
        <f>SUM(G475:R475)</f>
        <v>285520.06667899044</v>
      </c>
      <c r="U475" s="532" t="s">
        <v>194</v>
      </c>
      <c r="V475" s="7"/>
      <c r="W475" s="354"/>
      <c r="X475" s="529"/>
      <c r="Y475" s="529"/>
      <c r="Z475" s="355"/>
      <c r="AA475" s="355"/>
      <c r="AB475" s="355"/>
      <c r="AC475" s="355"/>
      <c r="AD475" s="355"/>
      <c r="AE475" s="355"/>
      <c r="AF475" s="355"/>
      <c r="AG475" s="355"/>
      <c r="AH475" s="355"/>
      <c r="AI475" s="355"/>
      <c r="AJ475" s="355"/>
      <c r="AK475" s="354"/>
      <c r="AL475" s="354"/>
      <c r="AM475" s="354"/>
      <c r="AN475" s="354"/>
    </row>
    <row r="476" spans="1:40" s="234" customFormat="1" x14ac:dyDescent="0.25">
      <c r="A476" s="354"/>
      <c r="B476" s="7"/>
      <c r="C476" s="499"/>
      <c r="D476" s="525"/>
      <c r="E476" s="313"/>
      <c r="F476" s="495" t="s">
        <v>189</v>
      </c>
      <c r="G476" s="501">
        <f>$J$45</f>
        <v>793.11129633052883</v>
      </c>
      <c r="H476" s="501">
        <f t="shared" ref="H476:R476" si="95">$J$45</f>
        <v>793.11129633052883</v>
      </c>
      <c r="I476" s="501">
        <f t="shared" si="95"/>
        <v>793.11129633052883</v>
      </c>
      <c r="J476" s="501">
        <f t="shared" si="95"/>
        <v>793.11129633052883</v>
      </c>
      <c r="K476" s="501">
        <f t="shared" si="95"/>
        <v>793.11129633052883</v>
      </c>
      <c r="L476" s="501">
        <f t="shared" si="95"/>
        <v>793.11129633052883</v>
      </c>
      <c r="M476" s="501">
        <f t="shared" si="95"/>
        <v>793.11129633052883</v>
      </c>
      <c r="N476" s="501">
        <f t="shared" si="95"/>
        <v>793.11129633052883</v>
      </c>
      <c r="O476" s="501">
        <f t="shared" si="95"/>
        <v>793.11129633052883</v>
      </c>
      <c r="P476" s="501">
        <f t="shared" si="95"/>
        <v>793.11129633052883</v>
      </c>
      <c r="Q476" s="501">
        <f t="shared" si="95"/>
        <v>793.11129633052883</v>
      </c>
      <c r="R476" s="501">
        <f t="shared" si="95"/>
        <v>793.11129633052883</v>
      </c>
      <c r="S476" s="502"/>
      <c r="T476" s="538">
        <f>AVERAGE(G476:R476)</f>
        <v>793.11129633052872</v>
      </c>
      <c r="U476" s="535" t="s">
        <v>195</v>
      </c>
      <c r="V476" s="7"/>
      <c r="W476" s="354"/>
      <c r="X476" s="529"/>
      <c r="Y476" s="529"/>
      <c r="Z476" s="355"/>
      <c r="AA476" s="355"/>
      <c r="AB476" s="355"/>
      <c r="AC476" s="355"/>
      <c r="AD476" s="355"/>
      <c r="AE476" s="355"/>
      <c r="AF476" s="355"/>
      <c r="AG476" s="355"/>
      <c r="AH476" s="355"/>
      <c r="AI476" s="355"/>
      <c r="AJ476" s="355"/>
      <c r="AK476" s="354"/>
      <c r="AL476" s="354"/>
      <c r="AM476" s="354"/>
      <c r="AN476" s="354"/>
    </row>
    <row r="477" spans="1:40" s="234" customFormat="1" x14ac:dyDescent="0.25">
      <c r="A477" s="354"/>
      <c r="B477" s="7"/>
      <c r="C477" s="499"/>
      <c r="D477" s="968" t="str">
        <f>L445</f>
        <v>Livestock</v>
      </c>
      <c r="E477" s="1003"/>
      <c r="F477" s="359" t="s">
        <v>188</v>
      </c>
      <c r="G477" s="380">
        <f>G478*30</f>
        <v>0</v>
      </c>
      <c r="H477" s="380">
        <f t="shared" ref="H477:R477" si="96">H478*30</f>
        <v>0</v>
      </c>
      <c r="I477" s="380">
        <f t="shared" si="96"/>
        <v>0</v>
      </c>
      <c r="J477" s="380">
        <f t="shared" si="96"/>
        <v>0</v>
      </c>
      <c r="K477" s="380">
        <f t="shared" si="96"/>
        <v>0</v>
      </c>
      <c r="L477" s="380">
        <f t="shared" si="96"/>
        <v>0</v>
      </c>
      <c r="M477" s="380">
        <f t="shared" si="96"/>
        <v>0</v>
      </c>
      <c r="N477" s="380">
        <f t="shared" si="96"/>
        <v>0</v>
      </c>
      <c r="O477" s="380">
        <f t="shared" si="96"/>
        <v>0</v>
      </c>
      <c r="P477" s="380">
        <f t="shared" si="96"/>
        <v>0</v>
      </c>
      <c r="Q477" s="380">
        <f t="shared" si="96"/>
        <v>0</v>
      </c>
      <c r="R477" s="380">
        <f t="shared" si="96"/>
        <v>0</v>
      </c>
      <c r="S477" s="502"/>
      <c r="T477" s="537">
        <f>SUM(G477:R477)</f>
        <v>0</v>
      </c>
      <c r="U477" s="532" t="s">
        <v>194</v>
      </c>
      <c r="V477" s="7"/>
      <c r="W477" s="354"/>
      <c r="X477" s="529"/>
      <c r="Y477" s="529"/>
      <c r="Z477" s="355"/>
      <c r="AA477" s="355"/>
      <c r="AB477" s="355"/>
      <c r="AC477" s="355"/>
      <c r="AD477" s="355"/>
      <c r="AE477" s="355"/>
      <c r="AF477" s="355"/>
      <c r="AG477" s="355"/>
      <c r="AH477" s="355"/>
      <c r="AI477" s="355"/>
      <c r="AJ477" s="355"/>
      <c r="AK477" s="354"/>
      <c r="AL477" s="354"/>
      <c r="AM477" s="354"/>
      <c r="AN477" s="354"/>
    </row>
    <row r="478" spans="1:40" s="234" customFormat="1" ht="15" customHeight="1" x14ac:dyDescent="0.25">
      <c r="A478" s="354"/>
      <c r="B478" s="7"/>
      <c r="C478" s="499"/>
      <c r="D478" s="1004" t="str">
        <f>L447</f>
        <v>Field data</v>
      </c>
      <c r="E478" s="1005"/>
      <c r="F478" s="495" t="s">
        <v>189</v>
      </c>
      <c r="G478" s="501">
        <f>$J$124</f>
        <v>0</v>
      </c>
      <c r="H478" s="501">
        <f t="shared" ref="H478:R478" si="97">$J$124</f>
        <v>0</v>
      </c>
      <c r="I478" s="501">
        <f t="shared" si="97"/>
        <v>0</v>
      </c>
      <c r="J478" s="501">
        <f t="shared" si="97"/>
        <v>0</v>
      </c>
      <c r="K478" s="501">
        <f t="shared" si="97"/>
        <v>0</v>
      </c>
      <c r="L478" s="501">
        <f t="shared" si="97"/>
        <v>0</v>
      </c>
      <c r="M478" s="501">
        <f t="shared" si="97"/>
        <v>0</v>
      </c>
      <c r="N478" s="501">
        <f t="shared" si="97"/>
        <v>0</v>
      </c>
      <c r="O478" s="501">
        <f t="shared" si="97"/>
        <v>0</v>
      </c>
      <c r="P478" s="501">
        <f t="shared" si="97"/>
        <v>0</v>
      </c>
      <c r="Q478" s="501">
        <f t="shared" si="97"/>
        <v>0</v>
      </c>
      <c r="R478" s="501">
        <f t="shared" si="97"/>
        <v>0</v>
      </c>
      <c r="S478" s="502"/>
      <c r="T478" s="538">
        <f>AVERAGE(G478:R478)</f>
        <v>0</v>
      </c>
      <c r="U478" s="535" t="s">
        <v>195</v>
      </c>
      <c r="V478" s="7"/>
      <c r="W478" s="354"/>
      <c r="X478" s="529"/>
      <c r="Y478" s="529"/>
      <c r="Z478" s="355"/>
      <c r="AA478" s="355"/>
      <c r="AB478" s="355"/>
      <c r="AC478" s="355"/>
      <c r="AD478" s="355"/>
      <c r="AE478" s="355"/>
      <c r="AF478" s="355"/>
      <c r="AG478" s="355"/>
      <c r="AH478" s="355"/>
      <c r="AI478" s="355"/>
      <c r="AJ478" s="355"/>
      <c r="AK478" s="354"/>
      <c r="AL478" s="354"/>
      <c r="AM478" s="354"/>
      <c r="AN478" s="354"/>
    </row>
    <row r="479" spans="1:40" s="234" customFormat="1" ht="15" customHeight="1" x14ac:dyDescent="0.25">
      <c r="A479" s="354"/>
      <c r="B479" s="7"/>
      <c r="C479" s="499"/>
      <c r="D479" s="968" t="str">
        <f>N445</f>
        <v>Agriculture</v>
      </c>
      <c r="E479" s="1003"/>
      <c r="F479" s="359" t="s">
        <v>188</v>
      </c>
      <c r="G479" s="380">
        <f t="shared" ref="G479:R480" si="98">I194</f>
        <v>15299.1546371885</v>
      </c>
      <c r="H479" s="380">
        <f t="shared" si="98"/>
        <v>0</v>
      </c>
      <c r="I479" s="380">
        <f t="shared" si="98"/>
        <v>0</v>
      </c>
      <c r="J479" s="380">
        <f t="shared" si="98"/>
        <v>4119.9649498956196</v>
      </c>
      <c r="K479" s="380">
        <f t="shared" si="98"/>
        <v>8634.415150687124</v>
      </c>
      <c r="L479" s="380">
        <f t="shared" si="98"/>
        <v>15185.765400650307</v>
      </c>
      <c r="M479" s="380">
        <f t="shared" si="98"/>
        <v>9140.1950033628655</v>
      </c>
      <c r="N479" s="380">
        <f t="shared" si="98"/>
        <v>0</v>
      </c>
      <c r="O479" s="380">
        <f t="shared" si="98"/>
        <v>0</v>
      </c>
      <c r="P479" s="380">
        <f t="shared" si="98"/>
        <v>5946.5407883751241</v>
      </c>
      <c r="Q479" s="380">
        <f t="shared" si="98"/>
        <v>8966.0740704744967</v>
      </c>
      <c r="R479" s="380">
        <f t="shared" si="98"/>
        <v>4568.8016978278965</v>
      </c>
      <c r="S479" s="502"/>
      <c r="T479" s="537">
        <f>SUM(G479:R479)</f>
        <v>71860.911698461932</v>
      </c>
      <c r="U479" s="532" t="s">
        <v>194</v>
      </c>
      <c r="V479" s="7"/>
      <c r="W479" s="354"/>
      <c r="X479" s="529"/>
      <c r="Y479" s="529"/>
      <c r="Z479" s="355"/>
      <c r="AA479" s="355"/>
      <c r="AB479" s="355"/>
      <c r="AC479" s="355"/>
      <c r="AD479" s="355"/>
      <c r="AE479" s="355"/>
      <c r="AF479" s="355"/>
      <c r="AG479" s="355"/>
      <c r="AH479" s="355"/>
      <c r="AI479" s="355"/>
      <c r="AJ479" s="355"/>
      <c r="AK479" s="354"/>
      <c r="AL479" s="354"/>
      <c r="AM479" s="354"/>
      <c r="AN479" s="354"/>
    </row>
    <row r="480" spans="1:40" s="234" customFormat="1" x14ac:dyDescent="0.25">
      <c r="A480" s="354"/>
      <c r="B480" s="7"/>
      <c r="C480" s="499"/>
      <c r="D480" s="525"/>
      <c r="E480" s="313"/>
      <c r="F480" s="495" t="s">
        <v>189</v>
      </c>
      <c r="G480" s="501">
        <f t="shared" si="98"/>
        <v>509.97182123961665</v>
      </c>
      <c r="H480" s="501">
        <f t="shared" si="98"/>
        <v>0</v>
      </c>
      <c r="I480" s="501">
        <f t="shared" si="98"/>
        <v>0</v>
      </c>
      <c r="J480" s="501">
        <f t="shared" si="98"/>
        <v>137.33216499652065</v>
      </c>
      <c r="K480" s="501">
        <f t="shared" si="98"/>
        <v>287.81383835623745</v>
      </c>
      <c r="L480" s="501">
        <f t="shared" si="98"/>
        <v>506.1921800216769</v>
      </c>
      <c r="M480" s="501">
        <f t="shared" si="98"/>
        <v>304.67316677876221</v>
      </c>
      <c r="N480" s="501">
        <f t="shared" si="98"/>
        <v>0</v>
      </c>
      <c r="O480" s="501">
        <f t="shared" si="98"/>
        <v>0</v>
      </c>
      <c r="P480" s="501">
        <f t="shared" si="98"/>
        <v>198.2180262791708</v>
      </c>
      <c r="Q480" s="501">
        <f t="shared" si="98"/>
        <v>298.8691356824832</v>
      </c>
      <c r="R480" s="501">
        <f t="shared" si="98"/>
        <v>152.29338992759656</v>
      </c>
      <c r="S480" s="502"/>
      <c r="T480" s="388">
        <f>AVERAGE(G480:R480)</f>
        <v>199.61364360683874</v>
      </c>
      <c r="U480" s="533" t="s">
        <v>195</v>
      </c>
      <c r="V480" s="7"/>
      <c r="W480" s="354"/>
      <c r="X480" s="529"/>
      <c r="Y480" s="529"/>
      <c r="Z480" s="355"/>
      <c r="AA480" s="355"/>
      <c r="AB480" s="355"/>
      <c r="AC480" s="355"/>
      <c r="AD480" s="355"/>
      <c r="AE480" s="355"/>
      <c r="AF480" s="355"/>
      <c r="AG480" s="355"/>
      <c r="AH480" s="355"/>
      <c r="AI480" s="355"/>
      <c r="AJ480" s="355"/>
      <c r="AK480" s="354"/>
      <c r="AL480" s="354"/>
      <c r="AM480" s="354"/>
      <c r="AN480" s="354"/>
    </row>
    <row r="481" spans="1:40" s="234" customFormat="1" x14ac:dyDescent="0.25">
      <c r="A481" s="354"/>
      <c r="B481" s="7"/>
      <c r="C481" s="499"/>
      <c r="D481" s="968" t="str">
        <f>P445</f>
        <v>Seasonal livestock</v>
      </c>
      <c r="E481" s="1003"/>
      <c r="F481" s="359" t="s">
        <v>188</v>
      </c>
      <c r="G481" s="494">
        <f>I249</f>
        <v>5595.3958453992509</v>
      </c>
      <c r="H481" s="494">
        <f t="shared" ref="H481:R481" si="99">J249</f>
        <v>0</v>
      </c>
      <c r="I481" s="494">
        <f t="shared" si="99"/>
        <v>0</v>
      </c>
      <c r="J481" s="494">
        <f t="shared" si="99"/>
        <v>0</v>
      </c>
      <c r="K481" s="494">
        <f t="shared" si="99"/>
        <v>0</v>
      </c>
      <c r="L481" s="494">
        <f t="shared" si="99"/>
        <v>0</v>
      </c>
      <c r="M481" s="494">
        <f t="shared" si="99"/>
        <v>0</v>
      </c>
      <c r="N481" s="494">
        <f t="shared" si="99"/>
        <v>0</v>
      </c>
      <c r="O481" s="494">
        <f t="shared" si="99"/>
        <v>5595.3958453992509</v>
      </c>
      <c r="P481" s="494">
        <f t="shared" si="99"/>
        <v>8952.6333526388025</v>
      </c>
      <c r="Q481" s="494">
        <f t="shared" si="99"/>
        <v>11190.791690798502</v>
      </c>
      <c r="R481" s="494">
        <f t="shared" si="99"/>
        <v>8952.6333526388025</v>
      </c>
      <c r="S481" s="502"/>
      <c r="T481" s="538">
        <f>SUM(G481:R481)</f>
        <v>40286.850086874605</v>
      </c>
      <c r="U481" s="535" t="s">
        <v>194</v>
      </c>
      <c r="V481" s="7"/>
      <c r="W481" s="354"/>
      <c r="X481" s="574"/>
      <c r="Y481" s="574"/>
      <c r="Z481" s="355"/>
      <c r="AA481" s="355"/>
      <c r="AB481" s="355"/>
      <c r="AC481" s="355"/>
      <c r="AD481" s="355"/>
      <c r="AE481" s="355"/>
      <c r="AF481" s="355"/>
      <c r="AG481" s="355"/>
      <c r="AH481" s="355"/>
      <c r="AI481" s="355"/>
      <c r="AJ481" s="355"/>
      <c r="AK481" s="354"/>
      <c r="AL481" s="354"/>
      <c r="AM481" s="354"/>
      <c r="AN481" s="354"/>
    </row>
    <row r="482" spans="1:40" s="234" customFormat="1" x14ac:dyDescent="0.25">
      <c r="A482" s="354"/>
      <c r="B482" s="7"/>
      <c r="C482" s="499"/>
      <c r="D482" s="570"/>
      <c r="E482" s="571"/>
      <c r="F482" s="360" t="s">
        <v>189</v>
      </c>
      <c r="G482" s="381">
        <f>I250</f>
        <v>186.51319484664171</v>
      </c>
      <c r="H482" s="381">
        <f t="shared" ref="H482:R482" si="100">J250</f>
        <v>0</v>
      </c>
      <c r="I482" s="381">
        <f t="shared" si="100"/>
        <v>0</v>
      </c>
      <c r="J482" s="381">
        <f t="shared" si="100"/>
        <v>0</v>
      </c>
      <c r="K482" s="381">
        <f t="shared" si="100"/>
        <v>0</v>
      </c>
      <c r="L482" s="381">
        <f t="shared" si="100"/>
        <v>0</v>
      </c>
      <c r="M482" s="381">
        <f t="shared" si="100"/>
        <v>0</v>
      </c>
      <c r="N482" s="381">
        <f t="shared" si="100"/>
        <v>0</v>
      </c>
      <c r="O482" s="381">
        <f t="shared" si="100"/>
        <v>186.51319484664171</v>
      </c>
      <c r="P482" s="381">
        <f t="shared" si="100"/>
        <v>298.42111175462674</v>
      </c>
      <c r="Q482" s="381">
        <f t="shared" si="100"/>
        <v>373.02638969328342</v>
      </c>
      <c r="R482" s="381">
        <f t="shared" si="100"/>
        <v>298.42111175462674</v>
      </c>
      <c r="S482" s="502"/>
      <c r="T482" s="388">
        <f>AVERAGE(G482:R482)</f>
        <v>111.90791690798501</v>
      </c>
      <c r="U482" s="533" t="s">
        <v>195</v>
      </c>
      <c r="V482" s="7"/>
      <c r="W482" s="354"/>
      <c r="X482" s="574"/>
      <c r="Y482" s="574"/>
      <c r="Z482" s="355"/>
      <c r="AA482" s="355"/>
      <c r="AB482" s="355"/>
      <c r="AC482" s="355"/>
      <c r="AD482" s="355"/>
      <c r="AE482" s="355"/>
      <c r="AF482" s="355"/>
      <c r="AG482" s="355"/>
      <c r="AH482" s="355"/>
      <c r="AI482" s="355"/>
      <c r="AJ482" s="355"/>
      <c r="AK482" s="354"/>
      <c r="AL482" s="354"/>
      <c r="AM482" s="354"/>
      <c r="AN482" s="354"/>
    </row>
    <row r="483" spans="1:40" s="234" customFormat="1" ht="15" customHeight="1" x14ac:dyDescent="0.25">
      <c r="A483" s="354"/>
      <c r="B483" s="7"/>
      <c r="C483" s="499"/>
      <c r="D483" s="968" t="str">
        <f>R445</f>
        <v>Wildlife</v>
      </c>
      <c r="E483" s="1003"/>
      <c r="F483" s="359" t="s">
        <v>188</v>
      </c>
      <c r="G483" s="494">
        <f>G484*30</f>
        <v>0</v>
      </c>
      <c r="H483" s="494">
        <f t="shared" ref="H483:R483" si="101">H484*30</f>
        <v>0</v>
      </c>
      <c r="I483" s="494">
        <f t="shared" si="101"/>
        <v>0</v>
      </c>
      <c r="J483" s="494">
        <f t="shared" si="101"/>
        <v>0</v>
      </c>
      <c r="K483" s="494">
        <f t="shared" si="101"/>
        <v>0</v>
      </c>
      <c r="L483" s="494">
        <f t="shared" si="101"/>
        <v>0</v>
      </c>
      <c r="M483" s="494">
        <f t="shared" si="101"/>
        <v>0</v>
      </c>
      <c r="N483" s="494">
        <f t="shared" si="101"/>
        <v>0</v>
      </c>
      <c r="O483" s="494">
        <f t="shared" si="101"/>
        <v>0</v>
      </c>
      <c r="P483" s="494">
        <f t="shared" si="101"/>
        <v>0</v>
      </c>
      <c r="Q483" s="494">
        <f t="shared" si="101"/>
        <v>0</v>
      </c>
      <c r="R483" s="494">
        <f t="shared" si="101"/>
        <v>0</v>
      </c>
      <c r="S483" s="502"/>
      <c r="T483" s="538">
        <f>SUM(G483:R483)</f>
        <v>0</v>
      </c>
      <c r="U483" s="535" t="s">
        <v>194</v>
      </c>
      <c r="V483" s="7"/>
      <c r="W483" s="354"/>
      <c r="X483" s="529"/>
      <c r="Y483" s="529"/>
      <c r="Z483" s="355"/>
      <c r="AA483" s="355"/>
      <c r="AB483" s="355"/>
      <c r="AC483" s="355"/>
      <c r="AD483" s="355"/>
      <c r="AE483" s="355"/>
      <c r="AF483" s="355"/>
      <c r="AG483" s="355"/>
      <c r="AH483" s="355"/>
      <c r="AI483" s="355"/>
      <c r="AJ483" s="355"/>
      <c r="AK483" s="354"/>
      <c r="AL483" s="354"/>
      <c r="AM483" s="354"/>
      <c r="AN483" s="354"/>
    </row>
    <row r="484" spans="1:40" customFormat="1" x14ac:dyDescent="0.25">
      <c r="A484" s="8"/>
      <c r="B484" s="47"/>
      <c r="C484" s="500"/>
      <c r="D484" s="570"/>
      <c r="E484" s="553"/>
      <c r="F484" s="360" t="s">
        <v>189</v>
      </c>
      <c r="G484" s="381">
        <f>$R$451</f>
        <v>0</v>
      </c>
      <c r="H484" s="381">
        <f t="shared" ref="H484:R484" si="102">$R$451</f>
        <v>0</v>
      </c>
      <c r="I484" s="381">
        <f t="shared" si="102"/>
        <v>0</v>
      </c>
      <c r="J484" s="381">
        <f t="shared" si="102"/>
        <v>0</v>
      </c>
      <c r="K484" s="381">
        <f t="shared" si="102"/>
        <v>0</v>
      </c>
      <c r="L484" s="381">
        <f t="shared" si="102"/>
        <v>0</v>
      </c>
      <c r="M484" s="381">
        <f t="shared" si="102"/>
        <v>0</v>
      </c>
      <c r="N484" s="381">
        <f t="shared" si="102"/>
        <v>0</v>
      </c>
      <c r="O484" s="381">
        <f t="shared" si="102"/>
        <v>0</v>
      </c>
      <c r="P484" s="381">
        <f t="shared" si="102"/>
        <v>0</v>
      </c>
      <c r="Q484" s="381">
        <f t="shared" si="102"/>
        <v>0</v>
      </c>
      <c r="R484" s="381">
        <f t="shared" si="102"/>
        <v>0</v>
      </c>
      <c r="S484" s="502"/>
      <c r="T484" s="388">
        <f>AVERAGE(G484:R484)</f>
        <v>0</v>
      </c>
      <c r="U484" s="533" t="s">
        <v>195</v>
      </c>
      <c r="V484" s="47"/>
      <c r="W484" s="8"/>
      <c r="X484" s="529"/>
      <c r="Y484" s="529"/>
      <c r="Z484" s="355"/>
      <c r="AA484" s="355"/>
      <c r="AB484" s="355"/>
      <c r="AC484" s="355"/>
      <c r="AD484" s="355"/>
      <c r="AE484" s="355"/>
      <c r="AF484" s="355"/>
      <c r="AG484" s="355"/>
      <c r="AH484" s="355"/>
      <c r="AI484" s="355"/>
      <c r="AJ484" s="355"/>
      <c r="AK484" s="354"/>
      <c r="AL484" s="354"/>
      <c r="AM484" s="354"/>
      <c r="AN484" s="354"/>
    </row>
    <row r="485" spans="1:40" customFormat="1" x14ac:dyDescent="0.25">
      <c r="A485" s="8"/>
      <c r="B485" s="47"/>
      <c r="C485" s="313"/>
      <c r="D485" s="525"/>
      <c r="E485" s="237"/>
      <c r="F485" s="213"/>
      <c r="G485" s="509"/>
      <c r="H485" s="509"/>
      <c r="I485" s="509"/>
      <c r="J485" s="509"/>
      <c r="K485" s="509"/>
      <c r="L485" s="509"/>
      <c r="M485" s="509"/>
      <c r="N485" s="509"/>
      <c r="O485" s="509"/>
      <c r="P485" s="509"/>
      <c r="Q485" s="509"/>
      <c r="R485" s="509"/>
      <c r="S485" s="502"/>
      <c r="T485" s="509"/>
      <c r="U485" s="502"/>
      <c r="V485" s="47"/>
      <c r="W485" s="8"/>
      <c r="X485" s="529"/>
      <c r="Y485" s="529"/>
      <c r="Z485" s="355"/>
      <c r="AA485" s="355"/>
      <c r="AB485" s="355"/>
      <c r="AC485" s="355"/>
      <c r="AD485" s="355"/>
      <c r="AE485" s="355"/>
      <c r="AF485" s="355"/>
      <c r="AG485" s="355"/>
      <c r="AH485" s="355"/>
      <c r="AI485" s="355"/>
      <c r="AJ485" s="355"/>
      <c r="AK485" s="354"/>
      <c r="AL485" s="354"/>
      <c r="AM485" s="354"/>
      <c r="AN485" s="354"/>
    </row>
    <row r="486" spans="1:40" customFormat="1" x14ac:dyDescent="0.25">
      <c r="A486" s="8"/>
      <c r="B486" s="47"/>
      <c r="C486" s="498">
        <f>F24</f>
        <v>2023</v>
      </c>
      <c r="D486" s="1007" t="s">
        <v>25</v>
      </c>
      <c r="E486" s="940"/>
      <c r="F486" s="503" t="s">
        <v>188</v>
      </c>
      <c r="G486" s="507">
        <f>G475+G477+G479+G483+G481</f>
        <v>44687.889372503618</v>
      </c>
      <c r="H486" s="507">
        <f t="shared" ref="H486:R486" si="103">H475+H477+H479+H483+H481</f>
        <v>23793.338889915864</v>
      </c>
      <c r="I486" s="507">
        <f t="shared" si="103"/>
        <v>23793.338889915864</v>
      </c>
      <c r="J486" s="507">
        <f t="shared" si="103"/>
        <v>27913.303839811484</v>
      </c>
      <c r="K486" s="507">
        <f t="shared" si="103"/>
        <v>32427.754040602988</v>
      </c>
      <c r="L486" s="507">
        <f t="shared" si="103"/>
        <v>38979.104290566174</v>
      </c>
      <c r="M486" s="507">
        <f t="shared" si="103"/>
        <v>32933.533893278727</v>
      </c>
      <c r="N486" s="507">
        <f t="shared" si="103"/>
        <v>23793.338889915864</v>
      </c>
      <c r="O486" s="507">
        <f t="shared" si="103"/>
        <v>29388.734735315113</v>
      </c>
      <c r="P486" s="507">
        <f t="shared" si="103"/>
        <v>38692.513030929789</v>
      </c>
      <c r="Q486" s="507">
        <f t="shared" si="103"/>
        <v>43950.204651188862</v>
      </c>
      <c r="R486" s="507">
        <f t="shared" si="103"/>
        <v>37314.773940382562</v>
      </c>
      <c r="S486" s="502"/>
      <c r="T486" s="530">
        <f>SUM(G486:R486)</f>
        <v>397667.82846432691</v>
      </c>
      <c r="U486" s="532" t="s">
        <v>194</v>
      </c>
      <c r="V486" s="47"/>
      <c r="W486" s="8"/>
      <c r="X486" s="529"/>
      <c r="Y486" s="529"/>
      <c r="Z486" s="355"/>
      <c r="AA486" s="355"/>
      <c r="AB486" s="355"/>
      <c r="AC486" s="355"/>
      <c r="AD486" s="355"/>
      <c r="AE486" s="355"/>
      <c r="AF486" s="355"/>
      <c r="AG486" s="355"/>
      <c r="AH486" s="355"/>
      <c r="AI486" s="355"/>
      <c r="AJ486" s="355"/>
      <c r="AK486" s="354"/>
      <c r="AL486" s="354"/>
      <c r="AM486" s="354"/>
      <c r="AN486" s="354"/>
    </row>
    <row r="487" spans="1:40" customFormat="1" x14ac:dyDescent="0.25">
      <c r="A487" s="8"/>
      <c r="B487" s="47"/>
      <c r="C487" s="500"/>
      <c r="D487" s="513"/>
      <c r="E487" s="514"/>
      <c r="F487" s="506" t="s">
        <v>189</v>
      </c>
      <c r="G487" s="508">
        <f>G476+G478+G480+G484+G482</f>
        <v>1489.5963124167872</v>
      </c>
      <c r="H487" s="508">
        <f t="shared" ref="H487:R487" si="104">H476+H478+H480+H484+H482</f>
        <v>793.11129633052883</v>
      </c>
      <c r="I487" s="508">
        <f t="shared" si="104"/>
        <v>793.11129633052883</v>
      </c>
      <c r="J487" s="508">
        <f t="shared" si="104"/>
        <v>930.44346132704948</v>
      </c>
      <c r="K487" s="508">
        <f t="shared" si="104"/>
        <v>1080.9251346867663</v>
      </c>
      <c r="L487" s="508">
        <f t="shared" si="104"/>
        <v>1299.3034763522057</v>
      </c>
      <c r="M487" s="508">
        <f t="shared" si="104"/>
        <v>1097.784463109291</v>
      </c>
      <c r="N487" s="508">
        <f t="shared" si="104"/>
        <v>793.11129633052883</v>
      </c>
      <c r="O487" s="508">
        <f t="shared" si="104"/>
        <v>979.62449117717051</v>
      </c>
      <c r="P487" s="508">
        <f t="shared" si="104"/>
        <v>1289.7504343643263</v>
      </c>
      <c r="Q487" s="508">
        <f t="shared" si="104"/>
        <v>1465.0068217062953</v>
      </c>
      <c r="R487" s="508">
        <f t="shared" si="104"/>
        <v>1243.8257980127521</v>
      </c>
      <c r="S487" s="502"/>
      <c r="T487" s="531">
        <f>AVERAGE(G487:R487)</f>
        <v>1104.6328568453528</v>
      </c>
      <c r="U487" s="533" t="s">
        <v>195</v>
      </c>
      <c r="V487" s="47"/>
      <c r="W487" s="8"/>
      <c r="X487" s="529"/>
      <c r="Y487" s="529"/>
      <c r="Z487" s="355"/>
      <c r="AA487" s="355"/>
      <c r="AB487" s="355"/>
      <c r="AC487" s="355"/>
      <c r="AD487" s="355"/>
      <c r="AE487" s="355"/>
      <c r="AF487" s="355"/>
      <c r="AG487" s="355"/>
      <c r="AH487" s="355"/>
      <c r="AI487" s="355"/>
      <c r="AJ487" s="355"/>
      <c r="AK487" s="354"/>
      <c r="AL487" s="354"/>
      <c r="AM487" s="354"/>
      <c r="AN487" s="354"/>
    </row>
    <row r="488" spans="1:40" s="3" customFormat="1" x14ac:dyDescent="0.25">
      <c r="A488" s="40"/>
      <c r="B488" s="14"/>
      <c r="C488" s="313"/>
      <c r="D488" s="504"/>
      <c r="E488" s="505"/>
      <c r="F488" s="510"/>
      <c r="G488" s="511"/>
      <c r="H488" s="511"/>
      <c r="I488" s="511"/>
      <c r="J488" s="511"/>
      <c r="K488" s="511"/>
      <c r="L488" s="511"/>
      <c r="M488" s="511"/>
      <c r="N488" s="511"/>
      <c r="O488" s="511"/>
      <c r="P488" s="511"/>
      <c r="Q488" s="511"/>
      <c r="R488" s="511"/>
      <c r="S488" s="502"/>
      <c r="T488" s="511"/>
      <c r="U488" s="502"/>
      <c r="V488" s="14"/>
      <c r="W488" s="40"/>
      <c r="X488" s="529"/>
      <c r="Y488" s="529"/>
      <c r="Z488" s="355"/>
      <c r="AA488" s="355"/>
      <c r="AB488" s="355"/>
      <c r="AC488" s="355"/>
      <c r="AD488" s="355"/>
      <c r="AE488" s="355"/>
      <c r="AF488" s="355"/>
      <c r="AG488" s="355"/>
      <c r="AH488" s="355"/>
      <c r="AI488" s="355"/>
      <c r="AJ488" s="355"/>
      <c r="AK488" s="355"/>
      <c r="AL488" s="355"/>
      <c r="AM488" s="355"/>
      <c r="AN488" s="355"/>
    </row>
    <row r="489" spans="1:40" customFormat="1" x14ac:dyDescent="0.25">
      <c r="A489" s="8"/>
      <c r="B489" s="47"/>
      <c r="C489" s="498">
        <f>F26</f>
        <v>2033</v>
      </c>
      <c r="D489" s="968" t="str">
        <f>J445</f>
        <v>Basic domestic</v>
      </c>
      <c r="E489" s="1003"/>
      <c r="F489" s="359" t="s">
        <v>188</v>
      </c>
      <c r="G489" s="380">
        <f>G490*30</f>
        <v>31976.257853443414</v>
      </c>
      <c r="H489" s="380">
        <f t="shared" ref="H489:R489" si="105">H490*30</f>
        <v>31976.257853443414</v>
      </c>
      <c r="I489" s="380">
        <f t="shared" si="105"/>
        <v>31976.257853443414</v>
      </c>
      <c r="J489" s="380">
        <f t="shared" si="105"/>
        <v>31976.257853443414</v>
      </c>
      <c r="K489" s="380">
        <f t="shared" si="105"/>
        <v>31976.257853443414</v>
      </c>
      <c r="L489" s="380">
        <f t="shared" si="105"/>
        <v>31976.257853443414</v>
      </c>
      <c r="M489" s="380">
        <f t="shared" si="105"/>
        <v>31976.257853443414</v>
      </c>
      <c r="N489" s="380">
        <f t="shared" si="105"/>
        <v>31976.257853443414</v>
      </c>
      <c r="O489" s="380">
        <f t="shared" si="105"/>
        <v>31976.257853443414</v>
      </c>
      <c r="P489" s="380">
        <f t="shared" si="105"/>
        <v>31976.257853443414</v>
      </c>
      <c r="Q489" s="380">
        <f t="shared" si="105"/>
        <v>31976.257853443414</v>
      </c>
      <c r="R489" s="380">
        <f t="shared" si="105"/>
        <v>31976.257853443414</v>
      </c>
      <c r="S489" s="502"/>
      <c r="T489" s="537">
        <f>SUM(G489:R489)</f>
        <v>383715.09424132085</v>
      </c>
      <c r="U489" s="532" t="s">
        <v>194</v>
      </c>
      <c r="V489" s="47"/>
      <c r="W489" s="8"/>
      <c r="X489" s="529"/>
      <c r="Y489" s="529"/>
      <c r="Z489" s="355"/>
      <c r="AA489" s="355"/>
      <c r="AB489" s="355"/>
      <c r="AC489" s="355"/>
      <c r="AD489" s="355"/>
      <c r="AE489" s="355"/>
      <c r="AF489" s="355"/>
      <c r="AG489" s="355"/>
      <c r="AH489" s="355"/>
      <c r="AI489" s="355"/>
      <c r="AJ489" s="355"/>
      <c r="AK489" s="354"/>
      <c r="AL489" s="354"/>
      <c r="AM489" s="354"/>
      <c r="AN489" s="354"/>
    </row>
    <row r="490" spans="1:40" customFormat="1" x14ac:dyDescent="0.25">
      <c r="A490" s="8"/>
      <c r="B490" s="47"/>
      <c r="C490" s="499"/>
      <c r="D490" s="525"/>
      <c r="E490" s="313"/>
      <c r="F490" s="495" t="s">
        <v>189</v>
      </c>
      <c r="G490" s="501">
        <f>$J$453</f>
        <v>1065.8752617814471</v>
      </c>
      <c r="H490" s="501">
        <f t="shared" ref="H490:R490" si="106">$J$453</f>
        <v>1065.8752617814471</v>
      </c>
      <c r="I490" s="501">
        <f t="shared" si="106"/>
        <v>1065.8752617814471</v>
      </c>
      <c r="J490" s="501">
        <f t="shared" si="106"/>
        <v>1065.8752617814471</v>
      </c>
      <c r="K490" s="501">
        <f t="shared" si="106"/>
        <v>1065.8752617814471</v>
      </c>
      <c r="L490" s="501">
        <f t="shared" si="106"/>
        <v>1065.8752617814471</v>
      </c>
      <c r="M490" s="501">
        <f t="shared" si="106"/>
        <v>1065.8752617814471</v>
      </c>
      <c r="N490" s="501">
        <f t="shared" si="106"/>
        <v>1065.8752617814471</v>
      </c>
      <c r="O490" s="501">
        <f t="shared" si="106"/>
        <v>1065.8752617814471</v>
      </c>
      <c r="P490" s="501">
        <f t="shared" si="106"/>
        <v>1065.8752617814471</v>
      </c>
      <c r="Q490" s="501">
        <f t="shared" si="106"/>
        <v>1065.8752617814471</v>
      </c>
      <c r="R490" s="501">
        <f t="shared" si="106"/>
        <v>1065.8752617814471</v>
      </c>
      <c r="S490" s="502"/>
      <c r="T490" s="538">
        <f>AVERAGE(G490:R490)</f>
        <v>1065.8752617814469</v>
      </c>
      <c r="U490" s="535" t="s">
        <v>195</v>
      </c>
      <c r="V490" s="47"/>
      <c r="W490" s="8"/>
      <c r="X490" s="529"/>
      <c r="Y490" s="529"/>
      <c r="Z490" s="355"/>
      <c r="AA490" s="355"/>
      <c r="AB490" s="355"/>
      <c r="AC490" s="355"/>
      <c r="AD490" s="355"/>
      <c r="AE490" s="355"/>
      <c r="AF490" s="355"/>
      <c r="AG490" s="355"/>
      <c r="AH490" s="355"/>
      <c r="AI490" s="355"/>
      <c r="AJ490" s="355"/>
      <c r="AK490" s="354"/>
      <c r="AL490" s="354"/>
      <c r="AM490" s="354"/>
      <c r="AN490" s="354"/>
    </row>
    <row r="491" spans="1:40" customFormat="1" x14ac:dyDescent="0.25">
      <c r="A491" s="8"/>
      <c r="B491" s="47"/>
      <c r="C491" s="499"/>
      <c r="D491" s="968" t="str">
        <f>L445</f>
        <v>Livestock</v>
      </c>
      <c r="E491" s="1003"/>
      <c r="F491" s="359" t="s">
        <v>188</v>
      </c>
      <c r="G491" s="380">
        <f>G492*30</f>
        <v>0</v>
      </c>
      <c r="H491" s="380">
        <f t="shared" ref="H491:R491" si="107">H492*30</f>
        <v>0</v>
      </c>
      <c r="I491" s="380">
        <f t="shared" si="107"/>
        <v>0</v>
      </c>
      <c r="J491" s="380">
        <f t="shared" si="107"/>
        <v>0</v>
      </c>
      <c r="K491" s="380">
        <f t="shared" si="107"/>
        <v>0</v>
      </c>
      <c r="L491" s="380">
        <f t="shared" si="107"/>
        <v>0</v>
      </c>
      <c r="M491" s="380">
        <f t="shared" si="107"/>
        <v>0</v>
      </c>
      <c r="N491" s="380">
        <f t="shared" si="107"/>
        <v>0</v>
      </c>
      <c r="O491" s="380">
        <f t="shared" si="107"/>
        <v>0</v>
      </c>
      <c r="P491" s="380">
        <f t="shared" si="107"/>
        <v>0</v>
      </c>
      <c r="Q491" s="380">
        <f t="shared" si="107"/>
        <v>0</v>
      </c>
      <c r="R491" s="380">
        <f t="shared" si="107"/>
        <v>0</v>
      </c>
      <c r="S491" s="502"/>
      <c r="T491" s="537">
        <f>SUM(G491:R491)</f>
        <v>0</v>
      </c>
      <c r="U491" s="532" t="s">
        <v>194</v>
      </c>
      <c r="V491" s="47"/>
      <c r="W491" s="8"/>
      <c r="X491" s="529"/>
      <c r="Y491" s="529"/>
      <c r="Z491" s="355"/>
      <c r="AA491" s="355"/>
      <c r="AB491" s="355"/>
      <c r="AC491" s="355"/>
      <c r="AD491" s="355"/>
      <c r="AE491" s="355"/>
      <c r="AF491" s="355"/>
      <c r="AG491" s="355"/>
      <c r="AH491" s="355"/>
      <c r="AI491" s="355"/>
      <c r="AJ491" s="355"/>
      <c r="AK491" s="354"/>
      <c r="AL491" s="354"/>
      <c r="AM491" s="354"/>
      <c r="AN491" s="354"/>
    </row>
    <row r="492" spans="1:40" customFormat="1" x14ac:dyDescent="0.25">
      <c r="A492" s="8"/>
      <c r="B492" s="47"/>
      <c r="C492" s="499"/>
      <c r="D492" s="1004" t="str">
        <f>L447</f>
        <v>Field data</v>
      </c>
      <c r="E492" s="1005"/>
      <c r="F492" s="495" t="s">
        <v>189</v>
      </c>
      <c r="G492" s="501">
        <f>$J$126</f>
        <v>0</v>
      </c>
      <c r="H492" s="501">
        <f t="shared" ref="H492:R492" si="108">$J$126</f>
        <v>0</v>
      </c>
      <c r="I492" s="501">
        <f t="shared" si="108"/>
        <v>0</v>
      </c>
      <c r="J492" s="501">
        <f t="shared" si="108"/>
        <v>0</v>
      </c>
      <c r="K492" s="501">
        <f t="shared" si="108"/>
        <v>0</v>
      </c>
      <c r="L492" s="501">
        <f t="shared" si="108"/>
        <v>0</v>
      </c>
      <c r="M492" s="501">
        <f t="shared" si="108"/>
        <v>0</v>
      </c>
      <c r="N492" s="501">
        <f t="shared" si="108"/>
        <v>0</v>
      </c>
      <c r="O492" s="501">
        <f t="shared" si="108"/>
        <v>0</v>
      </c>
      <c r="P492" s="501">
        <f t="shared" si="108"/>
        <v>0</v>
      </c>
      <c r="Q492" s="501">
        <f t="shared" si="108"/>
        <v>0</v>
      </c>
      <c r="R492" s="501">
        <f t="shared" si="108"/>
        <v>0</v>
      </c>
      <c r="S492" s="502"/>
      <c r="T492" s="388">
        <f>AVERAGE(G492:R492)</f>
        <v>0</v>
      </c>
      <c r="U492" s="533" t="s">
        <v>195</v>
      </c>
      <c r="V492" s="47"/>
      <c r="W492" s="8"/>
      <c r="X492" s="529"/>
      <c r="Y492" s="529"/>
      <c r="Z492" s="355"/>
      <c r="AA492" s="355"/>
      <c r="AB492" s="355"/>
      <c r="AC492" s="355"/>
      <c r="AD492" s="355"/>
      <c r="AE492" s="355"/>
      <c r="AF492" s="355"/>
      <c r="AG492" s="355"/>
      <c r="AH492" s="355"/>
      <c r="AI492" s="355"/>
      <c r="AJ492" s="355"/>
      <c r="AK492" s="354"/>
      <c r="AL492" s="354"/>
      <c r="AM492" s="354"/>
      <c r="AN492" s="354"/>
    </row>
    <row r="493" spans="1:40" customFormat="1" x14ac:dyDescent="0.25">
      <c r="A493" s="8"/>
      <c r="B493" s="47"/>
      <c r="C493" s="499"/>
      <c r="D493" s="968" t="str">
        <f>N445</f>
        <v>Agriculture</v>
      </c>
      <c r="E493" s="1003"/>
      <c r="F493" s="359" t="s">
        <v>188</v>
      </c>
      <c r="G493" s="380">
        <f t="shared" ref="G493:R494" si="109">I196</f>
        <v>20560.784507036198</v>
      </c>
      <c r="H493" s="380">
        <f t="shared" si="109"/>
        <v>0</v>
      </c>
      <c r="I493" s="380">
        <f t="shared" si="109"/>
        <v>0</v>
      </c>
      <c r="J493" s="380">
        <f t="shared" si="109"/>
        <v>5536.8883784884065</v>
      </c>
      <c r="K493" s="380">
        <f t="shared" si="109"/>
        <v>11603.931947065468</v>
      </c>
      <c r="L493" s="380">
        <f t="shared" si="109"/>
        <v>20408.398854811196</v>
      </c>
      <c r="M493" s="380">
        <f t="shared" si="109"/>
        <v>12283.657775418655</v>
      </c>
      <c r="N493" s="380">
        <f t="shared" si="109"/>
        <v>0</v>
      </c>
      <c r="O493" s="380">
        <f t="shared" si="109"/>
        <v>0</v>
      </c>
      <c r="P493" s="380">
        <f t="shared" si="109"/>
        <v>7991.6535659352348</v>
      </c>
      <c r="Q493" s="380">
        <f t="shared" si="109"/>
        <v>12049.653801723296</v>
      </c>
      <c r="R493" s="380">
        <f t="shared" si="109"/>
        <v>6140.0874356861423</v>
      </c>
      <c r="S493" s="502"/>
      <c r="T493" s="537">
        <f>SUM(G493:R493)</f>
        <v>96575.056266164596</v>
      </c>
      <c r="U493" s="532" t="s">
        <v>194</v>
      </c>
      <c r="V493" s="47"/>
      <c r="W493" s="8"/>
      <c r="X493" s="529"/>
      <c r="Y493" s="529"/>
      <c r="Z493" s="355"/>
      <c r="AA493" s="355"/>
      <c r="AB493" s="355"/>
      <c r="AC493" s="355"/>
      <c r="AD493" s="355"/>
      <c r="AE493" s="355"/>
      <c r="AF493" s="355"/>
      <c r="AG493" s="355"/>
      <c r="AH493" s="355"/>
      <c r="AI493" s="355"/>
      <c r="AJ493" s="355"/>
      <c r="AK493" s="354"/>
      <c r="AL493" s="354"/>
      <c r="AM493" s="354"/>
      <c r="AN493" s="354"/>
    </row>
    <row r="494" spans="1:40" customFormat="1" x14ac:dyDescent="0.25">
      <c r="A494" s="8"/>
      <c r="B494" s="47"/>
      <c r="C494" s="499"/>
      <c r="D494" s="525"/>
      <c r="E494" s="313"/>
      <c r="F494" s="495" t="s">
        <v>189</v>
      </c>
      <c r="G494" s="501">
        <f t="shared" si="109"/>
        <v>685.35948356787333</v>
      </c>
      <c r="H494" s="501">
        <f t="shared" si="109"/>
        <v>0</v>
      </c>
      <c r="I494" s="501">
        <f t="shared" si="109"/>
        <v>0</v>
      </c>
      <c r="J494" s="501">
        <f t="shared" si="109"/>
        <v>184.56294594961355</v>
      </c>
      <c r="K494" s="501">
        <f t="shared" si="109"/>
        <v>386.79773156884892</v>
      </c>
      <c r="L494" s="501">
        <f t="shared" si="109"/>
        <v>680.27996182703987</v>
      </c>
      <c r="M494" s="501">
        <f t="shared" si="109"/>
        <v>409.45525918062179</v>
      </c>
      <c r="N494" s="501">
        <f t="shared" si="109"/>
        <v>0</v>
      </c>
      <c r="O494" s="501">
        <f t="shared" si="109"/>
        <v>0</v>
      </c>
      <c r="P494" s="501">
        <f t="shared" si="109"/>
        <v>266.38845219784116</v>
      </c>
      <c r="Q494" s="501">
        <f t="shared" si="109"/>
        <v>401.65512672410989</v>
      </c>
      <c r="R494" s="501">
        <f t="shared" si="109"/>
        <v>204.66958118953806</v>
      </c>
      <c r="S494" s="502"/>
      <c r="T494" s="388">
        <f>AVERAGE(G494:R494)</f>
        <v>268.26404518379053</v>
      </c>
      <c r="U494" s="533" t="s">
        <v>195</v>
      </c>
      <c r="V494" s="47"/>
      <c r="W494" s="8"/>
      <c r="X494" s="529"/>
      <c r="Y494" s="529"/>
      <c r="Z494" s="355"/>
      <c r="AA494" s="355"/>
      <c r="AB494" s="355"/>
      <c r="AC494" s="355"/>
      <c r="AD494" s="355"/>
      <c r="AE494" s="355"/>
      <c r="AF494" s="355"/>
      <c r="AG494" s="355"/>
      <c r="AH494" s="355"/>
      <c r="AI494" s="355"/>
      <c r="AJ494" s="355"/>
      <c r="AK494" s="354"/>
      <c r="AL494" s="354"/>
      <c r="AM494" s="354"/>
      <c r="AN494" s="354"/>
    </row>
    <row r="495" spans="1:40" customFormat="1" x14ac:dyDescent="0.25">
      <c r="A495" s="8"/>
      <c r="B495" s="47"/>
      <c r="C495" s="499"/>
      <c r="D495" s="968" t="str">
        <f>P445</f>
        <v>Seasonal livestock</v>
      </c>
      <c r="E495" s="1003"/>
      <c r="F495" s="359" t="s">
        <v>188</v>
      </c>
      <c r="G495" s="494">
        <f>I251</f>
        <v>7519.7441255461017</v>
      </c>
      <c r="H495" s="494">
        <f t="shared" ref="H495:R495" si="110">J251</f>
        <v>0</v>
      </c>
      <c r="I495" s="494">
        <f t="shared" si="110"/>
        <v>0</v>
      </c>
      <c r="J495" s="494">
        <f t="shared" si="110"/>
        <v>0</v>
      </c>
      <c r="K495" s="494">
        <f t="shared" si="110"/>
        <v>0</v>
      </c>
      <c r="L495" s="494">
        <f t="shared" si="110"/>
        <v>0</v>
      </c>
      <c r="M495" s="494">
        <f t="shared" si="110"/>
        <v>0</v>
      </c>
      <c r="N495" s="494">
        <f t="shared" si="110"/>
        <v>0</v>
      </c>
      <c r="O495" s="494">
        <f t="shared" si="110"/>
        <v>7519.7441255461017</v>
      </c>
      <c r="P495" s="494">
        <f t="shared" si="110"/>
        <v>12031.590600873764</v>
      </c>
      <c r="Q495" s="494">
        <f t="shared" si="110"/>
        <v>15039.488251092203</v>
      </c>
      <c r="R495" s="494">
        <f t="shared" si="110"/>
        <v>12031.590600873764</v>
      </c>
      <c r="S495" s="502"/>
      <c r="T495" s="538">
        <f>SUM(G495:R495)</f>
        <v>54142.157703931938</v>
      </c>
      <c r="U495" s="535" t="s">
        <v>194</v>
      </c>
      <c r="V495" s="47"/>
      <c r="W495" s="8"/>
      <c r="X495" s="574"/>
      <c r="Y495" s="574"/>
      <c r="Z495" s="355"/>
      <c r="AA495" s="355"/>
      <c r="AB495" s="355"/>
      <c r="AC495" s="355"/>
      <c r="AD495" s="355"/>
      <c r="AE495" s="355"/>
      <c r="AF495" s="355"/>
      <c r="AG495" s="355"/>
      <c r="AH495" s="355"/>
      <c r="AI495" s="355"/>
      <c r="AJ495" s="355"/>
      <c r="AK495" s="354"/>
      <c r="AL495" s="354"/>
      <c r="AM495" s="354"/>
      <c r="AN495" s="354"/>
    </row>
    <row r="496" spans="1:40" customFormat="1" x14ac:dyDescent="0.25">
      <c r="A496" s="8"/>
      <c r="B496" s="47"/>
      <c r="C496" s="499"/>
      <c r="D496" s="570"/>
      <c r="E496" s="571"/>
      <c r="F496" s="360" t="s">
        <v>189</v>
      </c>
      <c r="G496" s="381">
        <f>I252</f>
        <v>250.6581375182034</v>
      </c>
      <c r="H496" s="381">
        <f t="shared" ref="H496:R496" si="111">J252</f>
        <v>0</v>
      </c>
      <c r="I496" s="381">
        <f t="shared" si="111"/>
        <v>0</v>
      </c>
      <c r="J496" s="381">
        <f t="shared" si="111"/>
        <v>0</v>
      </c>
      <c r="K496" s="381">
        <f t="shared" si="111"/>
        <v>0</v>
      </c>
      <c r="L496" s="381">
        <f t="shared" si="111"/>
        <v>0</v>
      </c>
      <c r="M496" s="381">
        <f t="shared" si="111"/>
        <v>0</v>
      </c>
      <c r="N496" s="381">
        <f t="shared" si="111"/>
        <v>0</v>
      </c>
      <c r="O496" s="381">
        <f t="shared" si="111"/>
        <v>250.6581375182034</v>
      </c>
      <c r="P496" s="381">
        <f t="shared" si="111"/>
        <v>401.05302002912543</v>
      </c>
      <c r="Q496" s="381">
        <f t="shared" si="111"/>
        <v>501.31627503640681</v>
      </c>
      <c r="R496" s="381">
        <f t="shared" si="111"/>
        <v>401.05302002912543</v>
      </c>
      <c r="S496" s="502"/>
      <c r="T496" s="388">
        <f>AVERAGE(G496:R496)</f>
        <v>150.39488251092203</v>
      </c>
      <c r="U496" s="533" t="s">
        <v>195</v>
      </c>
      <c r="V496" s="47"/>
      <c r="W496" s="8"/>
      <c r="X496" s="574"/>
      <c r="Y496" s="574"/>
      <c r="Z496" s="355"/>
      <c r="AA496" s="355"/>
      <c r="AB496" s="355"/>
      <c r="AC496" s="355"/>
      <c r="AD496" s="355"/>
      <c r="AE496" s="355"/>
      <c r="AF496" s="355"/>
      <c r="AG496" s="355"/>
      <c r="AH496" s="355"/>
      <c r="AI496" s="355"/>
      <c r="AJ496" s="355"/>
      <c r="AK496" s="354"/>
      <c r="AL496" s="354"/>
      <c r="AM496" s="354"/>
      <c r="AN496" s="354"/>
    </row>
    <row r="497" spans="1:40" customFormat="1" x14ac:dyDescent="0.25">
      <c r="A497" s="8"/>
      <c r="B497" s="47"/>
      <c r="C497" s="499"/>
      <c r="D497" s="968" t="str">
        <f>R445</f>
        <v>Wildlife</v>
      </c>
      <c r="E497" s="1003"/>
      <c r="F497" s="359" t="s">
        <v>188</v>
      </c>
      <c r="G497" s="494">
        <f>G498*30</f>
        <v>0</v>
      </c>
      <c r="H497" s="494">
        <f t="shared" ref="H497:R497" si="112">H498*30</f>
        <v>0</v>
      </c>
      <c r="I497" s="494">
        <f t="shared" si="112"/>
        <v>0</v>
      </c>
      <c r="J497" s="494">
        <f t="shared" si="112"/>
        <v>0</v>
      </c>
      <c r="K497" s="494">
        <f t="shared" si="112"/>
        <v>0</v>
      </c>
      <c r="L497" s="494">
        <f t="shared" si="112"/>
        <v>0</v>
      </c>
      <c r="M497" s="494">
        <f t="shared" si="112"/>
        <v>0</v>
      </c>
      <c r="N497" s="494">
        <f t="shared" si="112"/>
        <v>0</v>
      </c>
      <c r="O497" s="494">
        <f t="shared" si="112"/>
        <v>0</v>
      </c>
      <c r="P497" s="494">
        <f t="shared" si="112"/>
        <v>0</v>
      </c>
      <c r="Q497" s="494">
        <f t="shared" si="112"/>
        <v>0</v>
      </c>
      <c r="R497" s="494">
        <f t="shared" si="112"/>
        <v>0</v>
      </c>
      <c r="S497" s="502"/>
      <c r="T497" s="538">
        <f>SUM(G497:R497)</f>
        <v>0</v>
      </c>
      <c r="U497" s="535" t="s">
        <v>194</v>
      </c>
      <c r="V497" s="47"/>
      <c r="W497" s="8"/>
      <c r="X497" s="529"/>
      <c r="Y497" s="529"/>
      <c r="Z497" s="355"/>
      <c r="AA497" s="355"/>
      <c r="AB497" s="355"/>
      <c r="AC497" s="355"/>
      <c r="AD497" s="355"/>
      <c r="AE497" s="355"/>
      <c r="AF497" s="355"/>
      <c r="AG497" s="355"/>
      <c r="AH497" s="355"/>
      <c r="AI497" s="355"/>
      <c r="AJ497" s="355"/>
      <c r="AK497" s="354"/>
      <c r="AL497" s="354"/>
      <c r="AM497" s="354"/>
      <c r="AN497" s="354"/>
    </row>
    <row r="498" spans="1:40" customFormat="1" x14ac:dyDescent="0.25">
      <c r="A498" s="8"/>
      <c r="B498" s="47"/>
      <c r="C498" s="500"/>
      <c r="D498" s="570"/>
      <c r="E498" s="553"/>
      <c r="F498" s="360" t="s">
        <v>189</v>
      </c>
      <c r="G498" s="381">
        <f>$R$453</f>
        <v>0</v>
      </c>
      <c r="H498" s="381">
        <f t="shared" ref="H498:R498" si="113">$R$453</f>
        <v>0</v>
      </c>
      <c r="I498" s="381">
        <f t="shared" si="113"/>
        <v>0</v>
      </c>
      <c r="J498" s="381">
        <f t="shared" si="113"/>
        <v>0</v>
      </c>
      <c r="K498" s="381">
        <f t="shared" si="113"/>
        <v>0</v>
      </c>
      <c r="L498" s="381">
        <f t="shared" si="113"/>
        <v>0</v>
      </c>
      <c r="M498" s="381">
        <f t="shared" si="113"/>
        <v>0</v>
      </c>
      <c r="N498" s="381">
        <f t="shared" si="113"/>
        <v>0</v>
      </c>
      <c r="O498" s="381">
        <f t="shared" si="113"/>
        <v>0</v>
      </c>
      <c r="P498" s="381">
        <f t="shared" si="113"/>
        <v>0</v>
      </c>
      <c r="Q498" s="381">
        <f t="shared" si="113"/>
        <v>0</v>
      </c>
      <c r="R498" s="381">
        <f t="shared" si="113"/>
        <v>0</v>
      </c>
      <c r="S498" s="502"/>
      <c r="T498" s="388">
        <f>AVERAGE(G498:R498)</f>
        <v>0</v>
      </c>
      <c r="U498" s="533" t="s">
        <v>195</v>
      </c>
      <c r="V498" s="47"/>
      <c r="W498" s="8"/>
      <c r="X498" s="529"/>
      <c r="Y498" s="529"/>
      <c r="Z498" s="355"/>
      <c r="AA498" s="355"/>
      <c r="AB498" s="355"/>
      <c r="AC498" s="355"/>
      <c r="AD498" s="355"/>
      <c r="AE498" s="355"/>
      <c r="AF498" s="355"/>
      <c r="AG498" s="355"/>
      <c r="AH498" s="355"/>
      <c r="AI498" s="355"/>
      <c r="AJ498" s="355"/>
      <c r="AK498" s="354"/>
      <c r="AL498" s="354"/>
      <c r="AM498" s="354"/>
      <c r="AN498" s="354"/>
    </row>
    <row r="499" spans="1:40" customFormat="1" x14ac:dyDescent="0.25">
      <c r="A499" s="8"/>
      <c r="B499" s="47"/>
      <c r="C499" s="313"/>
      <c r="D499" s="525"/>
      <c r="E499" s="237"/>
      <c r="F499" s="213"/>
      <c r="G499" s="509"/>
      <c r="H499" s="509"/>
      <c r="I499" s="509"/>
      <c r="J499" s="509"/>
      <c r="K499" s="509"/>
      <c r="L499" s="509"/>
      <c r="M499" s="509"/>
      <c r="N499" s="509"/>
      <c r="O499" s="509"/>
      <c r="P499" s="509"/>
      <c r="Q499" s="509"/>
      <c r="R499" s="509"/>
      <c r="S499" s="502"/>
      <c r="T499" s="509"/>
      <c r="U499" s="502"/>
      <c r="V499" s="47"/>
      <c r="W499" s="8"/>
      <c r="X499" s="529"/>
      <c r="Y499" s="529"/>
      <c r="Z499" s="355"/>
      <c r="AA499" s="355"/>
      <c r="AB499" s="355"/>
      <c r="AC499" s="355"/>
      <c r="AD499" s="355"/>
      <c r="AE499" s="355"/>
      <c r="AF499" s="355"/>
      <c r="AG499" s="355"/>
      <c r="AH499" s="355"/>
      <c r="AI499" s="355"/>
      <c r="AJ499" s="355"/>
      <c r="AK499" s="354"/>
      <c r="AL499" s="354"/>
      <c r="AM499" s="354"/>
      <c r="AN499" s="354"/>
    </row>
    <row r="500" spans="1:40" customFormat="1" x14ac:dyDescent="0.25">
      <c r="A500" s="8"/>
      <c r="B500" s="47"/>
      <c r="C500" s="498">
        <f>F26</f>
        <v>2033</v>
      </c>
      <c r="D500" s="1007" t="s">
        <v>25</v>
      </c>
      <c r="E500" s="940"/>
      <c r="F500" s="503" t="s">
        <v>188</v>
      </c>
      <c r="G500" s="507">
        <f>G489+G491+G493+G497+G495</f>
        <v>60056.78648602571</v>
      </c>
      <c r="H500" s="507">
        <f t="shared" ref="H500:R500" si="114">H489+H491+H493+H497+H495</f>
        <v>31976.257853443414</v>
      </c>
      <c r="I500" s="507">
        <f t="shared" si="114"/>
        <v>31976.257853443414</v>
      </c>
      <c r="J500" s="507">
        <f t="shared" si="114"/>
        <v>37513.146231931823</v>
      </c>
      <c r="K500" s="507">
        <f t="shared" si="114"/>
        <v>43580.189800508881</v>
      </c>
      <c r="L500" s="507">
        <f t="shared" si="114"/>
        <v>52384.65670825461</v>
      </c>
      <c r="M500" s="507">
        <f t="shared" si="114"/>
        <v>44259.915628862072</v>
      </c>
      <c r="N500" s="507">
        <f t="shared" si="114"/>
        <v>31976.257853443414</v>
      </c>
      <c r="O500" s="507">
        <f t="shared" si="114"/>
        <v>39496.001978989516</v>
      </c>
      <c r="P500" s="507">
        <f t="shared" si="114"/>
        <v>51999.502020252417</v>
      </c>
      <c r="Q500" s="507">
        <f t="shared" si="114"/>
        <v>59065.399906258914</v>
      </c>
      <c r="R500" s="507">
        <f t="shared" si="114"/>
        <v>50147.935890003326</v>
      </c>
      <c r="S500" s="502"/>
      <c r="T500" s="530">
        <f>SUM(G500:R500)</f>
        <v>534432.3082114174</v>
      </c>
      <c r="U500" s="532" t="s">
        <v>194</v>
      </c>
      <c r="V500" s="47"/>
      <c r="W500" s="8"/>
      <c r="X500" s="529"/>
      <c r="Y500" s="529"/>
      <c r="Z500" s="355"/>
      <c r="AA500" s="355"/>
      <c r="AB500" s="355"/>
      <c r="AC500" s="355"/>
      <c r="AD500" s="355"/>
      <c r="AE500" s="355"/>
      <c r="AF500" s="355"/>
      <c r="AG500" s="355"/>
      <c r="AH500" s="355"/>
      <c r="AI500" s="355"/>
      <c r="AJ500" s="355"/>
      <c r="AK500" s="354"/>
      <c r="AL500" s="354"/>
      <c r="AM500" s="354"/>
      <c r="AN500" s="354"/>
    </row>
    <row r="501" spans="1:40" customFormat="1" x14ac:dyDescent="0.25">
      <c r="A501" s="8"/>
      <c r="B501" s="47"/>
      <c r="C501" s="500"/>
      <c r="D501" s="513"/>
      <c r="E501" s="514"/>
      <c r="F501" s="506" t="s">
        <v>189</v>
      </c>
      <c r="G501" s="508">
        <f>G490+G492+G494+G498+G496</f>
        <v>2001.8928828675237</v>
      </c>
      <c r="H501" s="508">
        <f t="shared" ref="H501:R501" si="115">H490+H492+H494+H498+H496</f>
        <v>1065.8752617814471</v>
      </c>
      <c r="I501" s="508">
        <f t="shared" si="115"/>
        <v>1065.8752617814471</v>
      </c>
      <c r="J501" s="508">
        <f t="shared" si="115"/>
        <v>1250.4382077310606</v>
      </c>
      <c r="K501" s="508">
        <f t="shared" si="115"/>
        <v>1452.6729933502961</v>
      </c>
      <c r="L501" s="508">
        <f t="shared" si="115"/>
        <v>1746.1552236084869</v>
      </c>
      <c r="M501" s="508">
        <f t="shared" si="115"/>
        <v>1475.3305209620689</v>
      </c>
      <c r="N501" s="508">
        <f t="shared" si="115"/>
        <v>1065.8752617814471</v>
      </c>
      <c r="O501" s="508">
        <f t="shared" si="115"/>
        <v>1316.5333992996505</v>
      </c>
      <c r="P501" s="508">
        <f t="shared" si="115"/>
        <v>1733.3167340084137</v>
      </c>
      <c r="Q501" s="508">
        <f t="shared" si="115"/>
        <v>1968.8466635419636</v>
      </c>
      <c r="R501" s="508">
        <f t="shared" si="115"/>
        <v>1671.5978630001107</v>
      </c>
      <c r="S501" s="502"/>
      <c r="T501" s="531">
        <f>AVERAGE(G501:R501)</f>
        <v>1484.5341894761596</v>
      </c>
      <c r="U501" s="533" t="s">
        <v>195</v>
      </c>
      <c r="V501" s="47"/>
      <c r="W501" s="8"/>
      <c r="X501" s="529"/>
      <c r="Y501" s="529"/>
      <c r="Z501" s="355"/>
      <c r="AA501" s="355"/>
      <c r="AB501" s="355"/>
      <c r="AC501" s="355"/>
      <c r="AD501" s="355"/>
      <c r="AE501" s="355"/>
      <c r="AF501" s="355"/>
      <c r="AG501" s="355"/>
      <c r="AH501" s="355"/>
      <c r="AI501" s="355"/>
      <c r="AJ501" s="355"/>
      <c r="AK501" s="354"/>
      <c r="AL501" s="354"/>
      <c r="AM501" s="354"/>
      <c r="AN501" s="354"/>
    </row>
    <row r="502" spans="1:40" s="40" customFormat="1" x14ac:dyDescent="0.25">
      <c r="A502" s="219"/>
      <c r="B502" s="517"/>
      <c r="C502" s="14"/>
      <c r="D502" s="1143"/>
      <c r="E502" s="876"/>
      <c r="F502" s="14"/>
      <c r="G502" s="14"/>
      <c r="H502" s="213"/>
      <c r="I502" s="522"/>
      <c r="J502" s="521"/>
      <c r="K502" s="36"/>
      <c r="L502" s="524"/>
      <c r="M502" s="14"/>
      <c r="N502" s="14"/>
      <c r="O502" s="14"/>
      <c r="P502" s="14"/>
      <c r="Q502" s="14"/>
      <c r="R502" s="14"/>
      <c r="S502" s="14"/>
      <c r="T502" s="14"/>
      <c r="U502" s="14"/>
      <c r="V502" s="14"/>
    </row>
    <row r="503" spans="1:40" x14ac:dyDescent="0.25"/>
    <row r="504" spans="1:40" x14ac:dyDescent="0.25">
      <c r="B504" s="40"/>
      <c r="C504" s="40"/>
      <c r="D504" s="9"/>
      <c r="E504" s="10"/>
      <c r="F504" s="10"/>
      <c r="G504" s="10"/>
      <c r="H504" s="214"/>
      <c r="I504" s="576"/>
      <c r="J504" s="215"/>
      <c r="K504" s="216"/>
      <c r="L504" s="217"/>
      <c r="M504" s="10"/>
      <c r="N504" s="10"/>
      <c r="O504" s="10"/>
      <c r="P504" s="10"/>
      <c r="Q504" s="10"/>
      <c r="R504" s="10"/>
      <c r="S504" s="10"/>
      <c r="T504" s="10"/>
      <c r="U504" s="10"/>
      <c r="V504" s="12"/>
    </row>
    <row r="505" spans="1:40" ht="15" customHeight="1" x14ac:dyDescent="0.25">
      <c r="A505" s="38"/>
      <c r="B505" s="219"/>
      <c r="C505" s="40"/>
      <c r="D505" s="13"/>
      <c r="E505" s="14"/>
      <c r="F505" s="356"/>
      <c r="G505" s="979" t="s">
        <v>248</v>
      </c>
      <c r="H505" s="980"/>
      <c r="I505" s="980"/>
      <c r="J505" s="980"/>
      <c r="K505" s="980"/>
      <c r="L505" s="980"/>
      <c r="M505" s="980"/>
      <c r="N505" s="980"/>
      <c r="O505" s="980"/>
      <c r="P505" s="980"/>
      <c r="Q505" s="980"/>
      <c r="R505" s="981"/>
      <c r="S505" s="14"/>
      <c r="T505" s="982"/>
      <c r="U505" s="918"/>
      <c r="V505" s="18"/>
    </row>
    <row r="506" spans="1:40" s="234" customFormat="1" ht="15" customHeight="1" x14ac:dyDescent="0.25">
      <c r="A506" s="354"/>
      <c r="B506" s="355"/>
      <c r="C506" s="355"/>
      <c r="D506" s="441"/>
      <c r="E506" s="14"/>
      <c r="F506" s="41"/>
      <c r="G506" s="384" t="s">
        <v>92</v>
      </c>
      <c r="H506" s="384" t="s">
        <v>93</v>
      </c>
      <c r="I506" s="384" t="s">
        <v>94</v>
      </c>
      <c r="J506" s="384" t="s">
        <v>95</v>
      </c>
      <c r="K506" s="384" t="s">
        <v>96</v>
      </c>
      <c r="L506" s="384" t="s">
        <v>97</v>
      </c>
      <c r="M506" s="384" t="s">
        <v>98</v>
      </c>
      <c r="N506" s="384" t="s">
        <v>99</v>
      </c>
      <c r="O506" s="384" t="s">
        <v>100</v>
      </c>
      <c r="P506" s="384" t="s">
        <v>101</v>
      </c>
      <c r="Q506" s="384" t="s">
        <v>102</v>
      </c>
      <c r="R506" s="384" t="s">
        <v>103</v>
      </c>
      <c r="S506" s="502"/>
      <c r="T506" s="915" t="s">
        <v>25</v>
      </c>
      <c r="U506" s="918"/>
      <c r="V506" s="586"/>
      <c r="W506" s="354"/>
      <c r="X506" s="355"/>
      <c r="Y506" s="574"/>
      <c r="Z506" s="355"/>
      <c r="AA506" s="355"/>
      <c r="AB506" s="355"/>
      <c r="AC506" s="355"/>
      <c r="AD506" s="355"/>
      <c r="AE506" s="355"/>
      <c r="AF506" s="355"/>
      <c r="AG506" s="355"/>
      <c r="AH506" s="355"/>
      <c r="AI506" s="355"/>
      <c r="AJ506" s="355"/>
      <c r="AK506" s="354"/>
      <c r="AL506" s="354"/>
      <c r="AM506" s="354"/>
      <c r="AN506" s="354"/>
    </row>
    <row r="507" spans="1:40" s="234" customFormat="1" ht="15" customHeight="1" x14ac:dyDescent="0.25">
      <c r="A507" s="354"/>
      <c r="B507" s="355"/>
      <c r="C507" s="355"/>
      <c r="D507" s="441"/>
      <c r="E507" s="14"/>
      <c r="F507" s="41"/>
      <c r="G507" s="609"/>
      <c r="H507" s="609"/>
      <c r="I507" s="609"/>
      <c r="J507" s="609"/>
      <c r="K507" s="609"/>
      <c r="L507" s="609"/>
      <c r="M507" s="609"/>
      <c r="N507" s="609"/>
      <c r="O507" s="609"/>
      <c r="P507" s="609"/>
      <c r="Q507" s="609"/>
      <c r="R507" s="609"/>
      <c r="S507" s="502"/>
      <c r="T507" s="610"/>
      <c r="U507" s="569"/>
      <c r="V507" s="586"/>
      <c r="W507" s="354"/>
      <c r="X507" s="355"/>
      <c r="Y507" s="574"/>
      <c r="Z507" s="355"/>
      <c r="AA507" s="355"/>
      <c r="AB507" s="355"/>
      <c r="AC507" s="355"/>
      <c r="AD507" s="355"/>
      <c r="AE507" s="355"/>
      <c r="AF507" s="355"/>
      <c r="AG507" s="355"/>
      <c r="AH507" s="355"/>
      <c r="AI507" s="355"/>
      <c r="AJ507" s="355"/>
      <c r="AK507" s="354"/>
      <c r="AL507" s="354"/>
      <c r="AM507" s="354"/>
      <c r="AN507" s="354"/>
    </row>
    <row r="508" spans="1:40" s="234" customFormat="1" x14ac:dyDescent="0.25">
      <c r="A508" s="354"/>
      <c r="B508" s="355"/>
      <c r="C508" s="600"/>
      <c r="D508" s="601"/>
      <c r="E508" s="597">
        <f>H449</f>
        <v>2013</v>
      </c>
      <c r="F508" s="359" t="s">
        <v>188</v>
      </c>
      <c r="G508" s="589">
        <f>G472</f>
        <v>33251.986551657974</v>
      </c>
      <c r="H508" s="589">
        <f t="shared" ref="H508:R508" si="116">H472</f>
        <v>17704.478683062</v>
      </c>
      <c r="I508" s="589">
        <f t="shared" si="116"/>
        <v>17704.478683062</v>
      </c>
      <c r="J508" s="589">
        <f t="shared" si="116"/>
        <v>20770.11953186712</v>
      </c>
      <c r="K508" s="589">
        <f t="shared" si="116"/>
        <v>24129.294455380379</v>
      </c>
      <c r="L508" s="589">
        <f t="shared" si="116"/>
        <v>29004.114310735124</v>
      </c>
      <c r="M508" s="589">
        <f t="shared" si="116"/>
        <v>24505.642166033762</v>
      </c>
      <c r="N508" s="589">
        <f t="shared" si="116"/>
        <v>17704.478683062</v>
      </c>
      <c r="O508" s="589">
        <f t="shared" si="116"/>
        <v>21867.978683062</v>
      </c>
      <c r="P508" s="589">
        <f t="shared" si="116"/>
        <v>28790.863498377104</v>
      </c>
      <c r="Q508" s="589">
        <f t="shared" si="116"/>
        <v>32703.079839415383</v>
      </c>
      <c r="R508" s="589">
        <f t="shared" si="116"/>
        <v>27765.696224785563</v>
      </c>
      <c r="S508" s="502"/>
      <c r="T508" s="611">
        <f>SUM(G508:R508)</f>
        <v>295902.21131050045</v>
      </c>
      <c r="U508" s="612" t="s">
        <v>194</v>
      </c>
      <c r="V508" s="586"/>
      <c r="W508" s="354"/>
      <c r="X508" s="574"/>
      <c r="Y508" s="574"/>
      <c r="Z508" s="355"/>
      <c r="AA508" s="355"/>
      <c r="AB508" s="355"/>
      <c r="AC508" s="355"/>
      <c r="AD508" s="355"/>
      <c r="AE508" s="355"/>
      <c r="AF508" s="355"/>
      <c r="AG508" s="355"/>
      <c r="AH508" s="355"/>
      <c r="AI508" s="355"/>
      <c r="AJ508" s="355"/>
      <c r="AK508" s="354"/>
      <c r="AL508" s="354"/>
      <c r="AM508" s="354"/>
      <c r="AN508" s="354"/>
    </row>
    <row r="509" spans="1:40" s="234" customFormat="1" x14ac:dyDescent="0.25">
      <c r="A509" s="354"/>
      <c r="B509" s="355"/>
      <c r="C509" s="600"/>
      <c r="D509" s="601"/>
      <c r="E509" s="598"/>
      <c r="F509" s="595" t="s">
        <v>189</v>
      </c>
      <c r="G509" s="590">
        <f>G473</f>
        <v>1108.3995517219325</v>
      </c>
      <c r="H509" s="590">
        <f t="shared" ref="H509:R509" si="117">H473</f>
        <v>590.14928943539996</v>
      </c>
      <c r="I509" s="590">
        <f t="shared" si="117"/>
        <v>590.14928943539996</v>
      </c>
      <c r="J509" s="590">
        <f t="shared" si="117"/>
        <v>692.33731772890405</v>
      </c>
      <c r="K509" s="590">
        <f t="shared" si="117"/>
        <v>804.30981517934595</v>
      </c>
      <c r="L509" s="590">
        <f t="shared" si="117"/>
        <v>966.80381035783739</v>
      </c>
      <c r="M509" s="590">
        <f t="shared" si="117"/>
        <v>816.85473886779198</v>
      </c>
      <c r="N509" s="590">
        <f t="shared" si="117"/>
        <v>590.14928943539996</v>
      </c>
      <c r="O509" s="590">
        <f t="shared" si="117"/>
        <v>728.93262276873327</v>
      </c>
      <c r="P509" s="590">
        <f t="shared" si="117"/>
        <v>959.69544994590342</v>
      </c>
      <c r="Q509" s="590">
        <f t="shared" si="117"/>
        <v>1090.1026613138461</v>
      </c>
      <c r="R509" s="590">
        <f t="shared" si="117"/>
        <v>925.52320749285218</v>
      </c>
      <c r="S509" s="502"/>
      <c r="T509" s="613">
        <f>AVERAGE(G509:R509)</f>
        <v>821.95058697361219</v>
      </c>
      <c r="U509" s="614" t="s">
        <v>195</v>
      </c>
      <c r="V509" s="586"/>
      <c r="W509" s="354"/>
      <c r="X509" s="574"/>
      <c r="Y509" s="574"/>
      <c r="Z509" s="355"/>
      <c r="AA509" s="355"/>
      <c r="AB509" s="355"/>
      <c r="AC509" s="355"/>
      <c r="AD509" s="355"/>
      <c r="AE509" s="355"/>
      <c r="AF509" s="355"/>
      <c r="AG509" s="355"/>
      <c r="AH509" s="355"/>
      <c r="AI509" s="355"/>
      <c r="AJ509" s="355"/>
      <c r="AK509" s="354"/>
      <c r="AL509" s="354"/>
      <c r="AM509" s="354"/>
      <c r="AN509" s="354"/>
    </row>
    <row r="510" spans="1:40" customFormat="1" x14ac:dyDescent="0.25">
      <c r="A510" s="8"/>
      <c r="B510" s="40"/>
      <c r="C510" s="600"/>
      <c r="D510" s="601"/>
      <c r="E510" s="597">
        <f>H451</f>
        <v>2023</v>
      </c>
      <c r="F510" s="359" t="s">
        <v>188</v>
      </c>
      <c r="G510" s="591">
        <f>G486</f>
        <v>44687.889372503618</v>
      </c>
      <c r="H510" s="591">
        <f t="shared" ref="H510:R510" si="118">H486</f>
        <v>23793.338889915864</v>
      </c>
      <c r="I510" s="591">
        <f t="shared" si="118"/>
        <v>23793.338889915864</v>
      </c>
      <c r="J510" s="591">
        <f t="shared" si="118"/>
        <v>27913.303839811484</v>
      </c>
      <c r="K510" s="591">
        <f t="shared" si="118"/>
        <v>32427.754040602988</v>
      </c>
      <c r="L510" s="591">
        <f t="shared" si="118"/>
        <v>38979.104290566174</v>
      </c>
      <c r="M510" s="591">
        <f t="shared" si="118"/>
        <v>32933.533893278727</v>
      </c>
      <c r="N510" s="591">
        <f t="shared" si="118"/>
        <v>23793.338889915864</v>
      </c>
      <c r="O510" s="591">
        <f t="shared" si="118"/>
        <v>29388.734735315113</v>
      </c>
      <c r="P510" s="591">
        <f t="shared" si="118"/>
        <v>38692.513030929789</v>
      </c>
      <c r="Q510" s="591">
        <f t="shared" si="118"/>
        <v>43950.204651188862</v>
      </c>
      <c r="R510" s="591">
        <f t="shared" si="118"/>
        <v>37314.773940382562</v>
      </c>
      <c r="S510" s="502"/>
      <c r="T510" s="611">
        <f>SUM(G510:R510)</f>
        <v>397667.82846432691</v>
      </c>
      <c r="U510" s="612" t="s">
        <v>194</v>
      </c>
      <c r="V510" s="18"/>
      <c r="W510" s="8"/>
      <c r="X510" s="574"/>
      <c r="Y510" s="574"/>
      <c r="Z510" s="355"/>
      <c r="AA510" s="355"/>
      <c r="AB510" s="355"/>
      <c r="AC510" s="355"/>
      <c r="AD510" s="355"/>
      <c r="AE510" s="355"/>
      <c r="AF510" s="355"/>
      <c r="AG510" s="355"/>
      <c r="AH510" s="355"/>
      <c r="AI510" s="355"/>
      <c r="AJ510" s="355"/>
      <c r="AK510" s="354"/>
      <c r="AL510" s="354"/>
      <c r="AM510" s="354"/>
      <c r="AN510" s="354"/>
    </row>
    <row r="511" spans="1:40" customFormat="1" x14ac:dyDescent="0.25">
      <c r="A511" s="8"/>
      <c r="B511" s="40"/>
      <c r="C511" s="600"/>
      <c r="D511" s="601"/>
      <c r="E511" s="599"/>
      <c r="F511" s="593" t="s">
        <v>189</v>
      </c>
      <c r="G511" s="592">
        <f>G487</f>
        <v>1489.5963124167872</v>
      </c>
      <c r="H511" s="592">
        <f t="shared" ref="H511:R511" si="119">H487</f>
        <v>793.11129633052883</v>
      </c>
      <c r="I511" s="592">
        <f t="shared" si="119"/>
        <v>793.11129633052883</v>
      </c>
      <c r="J511" s="592">
        <f t="shared" si="119"/>
        <v>930.44346132704948</v>
      </c>
      <c r="K511" s="592">
        <f t="shared" si="119"/>
        <v>1080.9251346867663</v>
      </c>
      <c r="L511" s="592">
        <f t="shared" si="119"/>
        <v>1299.3034763522057</v>
      </c>
      <c r="M511" s="592">
        <f t="shared" si="119"/>
        <v>1097.784463109291</v>
      </c>
      <c r="N511" s="592">
        <f t="shared" si="119"/>
        <v>793.11129633052883</v>
      </c>
      <c r="O511" s="592">
        <f t="shared" si="119"/>
        <v>979.62449117717051</v>
      </c>
      <c r="P511" s="592">
        <f t="shared" si="119"/>
        <v>1289.7504343643263</v>
      </c>
      <c r="Q511" s="592">
        <f t="shared" si="119"/>
        <v>1465.0068217062953</v>
      </c>
      <c r="R511" s="592">
        <f t="shared" si="119"/>
        <v>1243.8257980127521</v>
      </c>
      <c r="S511" s="502"/>
      <c r="T511" s="613">
        <f>AVERAGE(G511:R511)</f>
        <v>1104.6328568453528</v>
      </c>
      <c r="U511" s="614" t="s">
        <v>195</v>
      </c>
      <c r="V511" s="18"/>
      <c r="W511" s="8"/>
      <c r="X511" s="574"/>
      <c r="Y511" s="574"/>
      <c r="Z511" s="355"/>
      <c r="AA511" s="355"/>
      <c r="AB511" s="355"/>
      <c r="AC511" s="355"/>
      <c r="AD511" s="355"/>
      <c r="AE511" s="355"/>
      <c r="AF511" s="355"/>
      <c r="AG511" s="355"/>
      <c r="AH511" s="355"/>
      <c r="AI511" s="355"/>
      <c r="AJ511" s="355"/>
      <c r="AK511" s="354"/>
      <c r="AL511" s="354"/>
      <c r="AM511" s="354"/>
      <c r="AN511" s="354"/>
    </row>
    <row r="512" spans="1:40" customFormat="1" x14ac:dyDescent="0.25">
      <c r="A512" s="8"/>
      <c r="B512" s="40"/>
      <c r="C512" s="600"/>
      <c r="D512" s="601"/>
      <c r="E512" s="598">
        <f>H453</f>
        <v>2033</v>
      </c>
      <c r="F512" s="596" t="s">
        <v>188</v>
      </c>
      <c r="G512" s="591">
        <f>G500</f>
        <v>60056.78648602571</v>
      </c>
      <c r="H512" s="591">
        <f t="shared" ref="H512:R512" si="120">H500</f>
        <v>31976.257853443414</v>
      </c>
      <c r="I512" s="591">
        <f t="shared" si="120"/>
        <v>31976.257853443414</v>
      </c>
      <c r="J512" s="591">
        <f t="shared" si="120"/>
        <v>37513.146231931823</v>
      </c>
      <c r="K512" s="591">
        <f t="shared" si="120"/>
        <v>43580.189800508881</v>
      </c>
      <c r="L512" s="591">
        <f t="shared" si="120"/>
        <v>52384.65670825461</v>
      </c>
      <c r="M512" s="591">
        <f t="shared" si="120"/>
        <v>44259.915628862072</v>
      </c>
      <c r="N512" s="591">
        <f t="shared" si="120"/>
        <v>31976.257853443414</v>
      </c>
      <c r="O512" s="591">
        <f t="shared" si="120"/>
        <v>39496.001978989516</v>
      </c>
      <c r="P512" s="591">
        <f t="shared" si="120"/>
        <v>51999.502020252417</v>
      </c>
      <c r="Q512" s="591">
        <f t="shared" si="120"/>
        <v>59065.399906258914</v>
      </c>
      <c r="R512" s="591">
        <f t="shared" si="120"/>
        <v>50147.935890003326</v>
      </c>
      <c r="S512" s="502"/>
      <c r="T512" s="611">
        <f>SUM(G512:R512)</f>
        <v>534432.3082114174</v>
      </c>
      <c r="U512" s="612" t="s">
        <v>194</v>
      </c>
      <c r="V512" s="18"/>
      <c r="W512" s="8"/>
      <c r="X512" s="574"/>
      <c r="Y512" s="574"/>
      <c r="Z512" s="355"/>
      <c r="AA512" s="355"/>
      <c r="AB512" s="355"/>
      <c r="AC512" s="355"/>
      <c r="AD512" s="355"/>
      <c r="AE512" s="355"/>
      <c r="AF512" s="355"/>
      <c r="AG512" s="355"/>
      <c r="AH512" s="355"/>
      <c r="AI512" s="355"/>
      <c r="AJ512" s="355"/>
      <c r="AK512" s="354"/>
      <c r="AL512" s="354"/>
      <c r="AM512" s="354"/>
      <c r="AN512" s="354"/>
    </row>
    <row r="513" spans="1:40" customFormat="1" x14ac:dyDescent="0.25">
      <c r="A513" s="8"/>
      <c r="B513" s="40"/>
      <c r="C513" s="600"/>
      <c r="D513" s="601"/>
      <c r="E513" s="594"/>
      <c r="F513" s="593" t="s">
        <v>189</v>
      </c>
      <c r="G513" s="592">
        <f>G501</f>
        <v>2001.8928828675237</v>
      </c>
      <c r="H513" s="592">
        <f t="shared" ref="H513:R513" si="121">H501</f>
        <v>1065.8752617814471</v>
      </c>
      <c r="I513" s="592">
        <f t="shared" si="121"/>
        <v>1065.8752617814471</v>
      </c>
      <c r="J513" s="592">
        <f t="shared" si="121"/>
        <v>1250.4382077310606</v>
      </c>
      <c r="K513" s="592">
        <f t="shared" si="121"/>
        <v>1452.6729933502961</v>
      </c>
      <c r="L513" s="592">
        <f t="shared" si="121"/>
        <v>1746.1552236084869</v>
      </c>
      <c r="M513" s="592">
        <f t="shared" si="121"/>
        <v>1475.3305209620689</v>
      </c>
      <c r="N513" s="592">
        <f t="shared" si="121"/>
        <v>1065.8752617814471</v>
      </c>
      <c r="O513" s="592">
        <f t="shared" si="121"/>
        <v>1316.5333992996505</v>
      </c>
      <c r="P513" s="592">
        <f t="shared" si="121"/>
        <v>1733.3167340084137</v>
      </c>
      <c r="Q513" s="592">
        <f t="shared" si="121"/>
        <v>1968.8466635419636</v>
      </c>
      <c r="R513" s="592">
        <f t="shared" si="121"/>
        <v>1671.5978630001107</v>
      </c>
      <c r="S513" s="502"/>
      <c r="T513" s="613">
        <f>AVERAGE(G513:R513)</f>
        <v>1484.5341894761596</v>
      </c>
      <c r="U513" s="614" t="s">
        <v>195</v>
      </c>
      <c r="V513" s="18"/>
      <c r="W513" s="8"/>
      <c r="X513" s="574"/>
      <c r="Y513" s="574"/>
      <c r="Z513" s="355"/>
      <c r="AA513" s="355"/>
      <c r="AB513" s="355"/>
      <c r="AC513" s="355"/>
      <c r="AD513" s="355"/>
      <c r="AE513" s="355"/>
      <c r="AF513" s="355"/>
      <c r="AG513" s="355"/>
      <c r="AH513" s="355"/>
      <c r="AI513" s="355"/>
      <c r="AJ513" s="355"/>
      <c r="AK513" s="354"/>
      <c r="AL513" s="354"/>
      <c r="AM513" s="354"/>
      <c r="AN513" s="354"/>
    </row>
    <row r="514" spans="1:40" s="40" customFormat="1" x14ac:dyDescent="0.25">
      <c r="A514" s="219"/>
      <c r="B514" s="219"/>
      <c r="D514" s="602"/>
      <c r="E514" s="603"/>
      <c r="F514" s="116"/>
      <c r="G514" s="116"/>
      <c r="H514" s="604"/>
      <c r="I514" s="605"/>
      <c r="J514" s="606"/>
      <c r="K514" s="607"/>
      <c r="L514" s="608"/>
      <c r="M514" s="116"/>
      <c r="N514" s="116"/>
      <c r="O514" s="116"/>
      <c r="P514" s="116"/>
      <c r="Q514" s="116"/>
      <c r="R514" s="116"/>
      <c r="S514" s="116"/>
      <c r="T514" s="116"/>
      <c r="U514" s="116"/>
      <c r="V514" s="117"/>
    </row>
    <row r="515" spans="1:40" s="40" customFormat="1" x14ac:dyDescent="0.25">
      <c r="A515" s="219"/>
      <c r="B515" s="219"/>
      <c r="D515" s="588"/>
      <c r="E515" s="574"/>
      <c r="H515" s="88"/>
      <c r="I515" s="89"/>
      <c r="J515" s="90"/>
      <c r="K515" s="91"/>
      <c r="L515" s="573"/>
    </row>
    <row r="516" spans="1:40" x14ac:dyDescent="0.25"/>
    <row r="517" spans="1:40" x14ac:dyDescent="0.25"/>
    <row r="518" spans="1:40" x14ac:dyDescent="0.25"/>
    <row r="519" spans="1:40" x14ac:dyDescent="0.25"/>
    <row r="520" spans="1:40" x14ac:dyDescent="0.25"/>
    <row r="521" spans="1:40" x14ac:dyDescent="0.25"/>
    <row r="522" spans="1:40" x14ac:dyDescent="0.25"/>
    <row r="523" spans="1:40" x14ac:dyDescent="0.25"/>
    <row r="524" spans="1:40" x14ac:dyDescent="0.25"/>
    <row r="525" spans="1:40" x14ac:dyDescent="0.25"/>
    <row r="526" spans="1:40" x14ac:dyDescent="0.25"/>
    <row r="527" spans="1:40" x14ac:dyDescent="0.25"/>
    <row r="528" spans="1:40"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sheetData>
  <mergeCells count="418">
    <mergeCell ref="I176:J176"/>
    <mergeCell ref="K171:L171"/>
    <mergeCell ref="K175:L175"/>
    <mergeCell ref="K176:L176"/>
    <mergeCell ref="I172:J172"/>
    <mergeCell ref="I173:J173"/>
    <mergeCell ref="I174:J174"/>
    <mergeCell ref="K172:L172"/>
    <mergeCell ref="K173:L173"/>
    <mergeCell ref="K174:L174"/>
    <mergeCell ref="F149:H158"/>
    <mergeCell ref="K153:L153"/>
    <mergeCell ref="K154:L154"/>
    <mergeCell ref="K155:L155"/>
    <mergeCell ref="I153:J153"/>
    <mergeCell ref="I154:J154"/>
    <mergeCell ref="I155:J155"/>
    <mergeCell ref="M153:N153"/>
    <mergeCell ref="M154:N154"/>
    <mergeCell ref="M155:N155"/>
    <mergeCell ref="D502:E502"/>
    <mergeCell ref="T458:U458"/>
    <mergeCell ref="T459:U459"/>
    <mergeCell ref="T383:U383"/>
    <mergeCell ref="T382:U382"/>
    <mergeCell ref="T307:U307"/>
    <mergeCell ref="T306:U306"/>
    <mergeCell ref="D477:E477"/>
    <mergeCell ref="D478:E478"/>
    <mergeCell ref="D479:E479"/>
    <mergeCell ref="D483:E483"/>
    <mergeCell ref="D486:E486"/>
    <mergeCell ref="D489:E489"/>
    <mergeCell ref="D491:E491"/>
    <mergeCell ref="D492:E492"/>
    <mergeCell ref="D493:E493"/>
    <mergeCell ref="L370:M370"/>
    <mergeCell ref="N370:O370"/>
    <mergeCell ref="J446:K446"/>
    <mergeCell ref="T446:U446"/>
    <mergeCell ref="N445:O445"/>
    <mergeCell ref="T445:U445"/>
    <mergeCell ref="T447:U447"/>
    <mergeCell ref="P447:Q447"/>
    <mergeCell ref="L447:M447"/>
    <mergeCell ref="N447:O447"/>
    <mergeCell ref="D372:E373"/>
    <mergeCell ref="K281:L281"/>
    <mergeCell ref="J445:K445"/>
    <mergeCell ref="L445:M445"/>
    <mergeCell ref="P445:Q445"/>
    <mergeCell ref="J369:K369"/>
    <mergeCell ref="L369:M369"/>
    <mergeCell ref="N369:O369"/>
    <mergeCell ref="P369:Q369"/>
    <mergeCell ref="P446:Q446"/>
    <mergeCell ref="J370:K370"/>
    <mergeCell ref="P370:Q370"/>
    <mergeCell ref="L446:M446"/>
    <mergeCell ref="N446:O446"/>
    <mergeCell ref="G306:R306"/>
    <mergeCell ref="D312:E312"/>
    <mergeCell ref="D326:E326"/>
    <mergeCell ref="D339:E339"/>
    <mergeCell ref="D340:E340"/>
    <mergeCell ref="D331:E331"/>
    <mergeCell ref="D334:E334"/>
    <mergeCell ref="D337:E337"/>
    <mergeCell ref="D497:E497"/>
    <mergeCell ref="D500:E500"/>
    <mergeCell ref="G458:R458"/>
    <mergeCell ref="D461:E461"/>
    <mergeCell ref="D463:E463"/>
    <mergeCell ref="D464:E464"/>
    <mergeCell ref="D465:E465"/>
    <mergeCell ref="D469:E469"/>
    <mergeCell ref="D472:E472"/>
    <mergeCell ref="D475:E475"/>
    <mergeCell ref="D481:E481"/>
    <mergeCell ref="D495:E495"/>
    <mergeCell ref="I243:T243"/>
    <mergeCell ref="I244:T244"/>
    <mergeCell ref="I232:J232"/>
    <mergeCell ref="I233:J233"/>
    <mergeCell ref="I258:L258"/>
    <mergeCell ref="I259:J259"/>
    <mergeCell ref="K259:L259"/>
    <mergeCell ref="P371:Q371"/>
    <mergeCell ref="T370:U370"/>
    <mergeCell ref="T295:U295"/>
    <mergeCell ref="I283:J283"/>
    <mergeCell ref="J123:K123"/>
    <mergeCell ref="L124:M124"/>
    <mergeCell ref="J122:K122"/>
    <mergeCell ref="L122:M122"/>
    <mergeCell ref="D135:E135"/>
    <mergeCell ref="I135:J135"/>
    <mergeCell ref="I137:J137"/>
    <mergeCell ref="I138:J138"/>
    <mergeCell ref="I139:J139"/>
    <mergeCell ref="I136:J136"/>
    <mergeCell ref="L139:M139"/>
    <mergeCell ref="L135:M135"/>
    <mergeCell ref="L136:M136"/>
    <mergeCell ref="L137:M137"/>
    <mergeCell ref="J126:K126"/>
    <mergeCell ref="L126:M126"/>
    <mergeCell ref="I132:Q132"/>
    <mergeCell ref="I131:Q131"/>
    <mergeCell ref="L138:M138"/>
    <mergeCell ref="O139:P139"/>
    <mergeCell ref="O136:P136"/>
    <mergeCell ref="O138:P138"/>
    <mergeCell ref="O140:P140"/>
    <mergeCell ref="L140:M140"/>
    <mergeCell ref="I234:J234"/>
    <mergeCell ref="I170:J170"/>
    <mergeCell ref="K160:L160"/>
    <mergeCell ref="I175:J175"/>
    <mergeCell ref="M150:N150"/>
    <mergeCell ref="I150:J150"/>
    <mergeCell ref="I151:J151"/>
    <mergeCell ref="K218:L218"/>
    <mergeCell ref="K219:L219"/>
    <mergeCell ref="K220:L220"/>
    <mergeCell ref="M147:N148"/>
    <mergeCell ref="O147:P148"/>
    <mergeCell ref="O149:P149"/>
    <mergeCell ref="M149:N149"/>
    <mergeCell ref="O153:P153"/>
    <mergeCell ref="O154:P154"/>
    <mergeCell ref="M175:N175"/>
    <mergeCell ref="M176:N176"/>
    <mergeCell ref="M177:N177"/>
    <mergeCell ref="I168:J168"/>
    <mergeCell ref="I169:J169"/>
    <mergeCell ref="K168:L168"/>
    <mergeCell ref="N69:O69"/>
    <mergeCell ref="N70:O70"/>
    <mergeCell ref="N53:P53"/>
    <mergeCell ref="N54:P54"/>
    <mergeCell ref="N71:O71"/>
    <mergeCell ref="I227:J228"/>
    <mergeCell ref="I229:J229"/>
    <mergeCell ref="I230:J230"/>
    <mergeCell ref="I231:J231"/>
    <mergeCell ref="J119:K119"/>
    <mergeCell ref="L123:M123"/>
    <mergeCell ref="J124:K124"/>
    <mergeCell ref="J121:K121"/>
    <mergeCell ref="L121:M121"/>
    <mergeCell ref="J125:K125"/>
    <mergeCell ref="L125:M125"/>
    <mergeCell ref="L119:M119"/>
    <mergeCell ref="H110:O110"/>
    <mergeCell ref="J118:M118"/>
    <mergeCell ref="L101:M101"/>
    <mergeCell ref="J102:K102"/>
    <mergeCell ref="I140:J140"/>
    <mergeCell ref="O135:P135"/>
    <mergeCell ref="O137:P137"/>
    <mergeCell ref="J100:K100"/>
    <mergeCell ref="L100:M100"/>
    <mergeCell ref="J101:K101"/>
    <mergeCell ref="L80:M80"/>
    <mergeCell ref="J105:K105"/>
    <mergeCell ref="L105:M105"/>
    <mergeCell ref="L82:M82"/>
    <mergeCell ref="J81:K81"/>
    <mergeCell ref="L81:M81"/>
    <mergeCell ref="J80:K80"/>
    <mergeCell ref="L102:M102"/>
    <mergeCell ref="J103:K103"/>
    <mergeCell ref="L103:M103"/>
    <mergeCell ref="J104:K104"/>
    <mergeCell ref="L104:M104"/>
    <mergeCell ref="J74:M74"/>
    <mergeCell ref="N89:O89"/>
    <mergeCell ref="N90:O90"/>
    <mergeCell ref="N92:O92"/>
    <mergeCell ref="L98:M98"/>
    <mergeCell ref="J98:K98"/>
    <mergeCell ref="N93:O93"/>
    <mergeCell ref="J96:M96"/>
    <mergeCell ref="N91:O91"/>
    <mergeCell ref="J82:K82"/>
    <mergeCell ref="J83:K83"/>
    <mergeCell ref="L83:M83"/>
    <mergeCell ref="J97:M97"/>
    <mergeCell ref="L47:M47"/>
    <mergeCell ref="H55:I55"/>
    <mergeCell ref="H56:I56"/>
    <mergeCell ref="H57:I57"/>
    <mergeCell ref="H58:I58"/>
    <mergeCell ref="J52:J54"/>
    <mergeCell ref="H52:I53"/>
    <mergeCell ref="H54:I54"/>
    <mergeCell ref="H59:I59"/>
    <mergeCell ref="J18:O18"/>
    <mergeCell ref="J19:K19"/>
    <mergeCell ref="L19:M19"/>
    <mergeCell ref="N19:O19"/>
    <mergeCell ref="J42:K42"/>
    <mergeCell ref="L42:M42"/>
    <mergeCell ref="J43:K43"/>
    <mergeCell ref="L43:M43"/>
    <mergeCell ref="J44:K44"/>
    <mergeCell ref="L44:M44"/>
    <mergeCell ref="J38:M38"/>
    <mergeCell ref="J39:M39"/>
    <mergeCell ref="J40:M40"/>
    <mergeCell ref="J20:K20"/>
    <mergeCell ref="L20:M20"/>
    <mergeCell ref="N20:O20"/>
    <mergeCell ref="J37:M37"/>
    <mergeCell ref="N68:O68"/>
    <mergeCell ref="H67:O67"/>
    <mergeCell ref="J75:M75"/>
    <mergeCell ref="H88:O88"/>
    <mergeCell ref="J78:K78"/>
    <mergeCell ref="L78:M78"/>
    <mergeCell ref="J79:K79"/>
    <mergeCell ref="L79:M79"/>
    <mergeCell ref="F29:G29"/>
    <mergeCell ref="F30:G30"/>
    <mergeCell ref="F31:G31"/>
    <mergeCell ref="F62:G62"/>
    <mergeCell ref="F61:G61"/>
    <mergeCell ref="N52:P52"/>
    <mergeCell ref="P38:Q38"/>
    <mergeCell ref="P39:Q39"/>
    <mergeCell ref="P40:Q40"/>
    <mergeCell ref="L76:M76"/>
    <mergeCell ref="J76:K76"/>
    <mergeCell ref="J45:K45"/>
    <mergeCell ref="L45:M45"/>
    <mergeCell ref="J46:K46"/>
    <mergeCell ref="L46:M46"/>
    <mergeCell ref="J47:K47"/>
    <mergeCell ref="J117:M117"/>
    <mergeCell ref="N114:O114"/>
    <mergeCell ref="N113:O113"/>
    <mergeCell ref="N111:O111"/>
    <mergeCell ref="N112:O112"/>
    <mergeCell ref="G180:H180"/>
    <mergeCell ref="G183:H183"/>
    <mergeCell ref="I156:J156"/>
    <mergeCell ref="I157:J157"/>
    <mergeCell ref="I158:J158"/>
    <mergeCell ref="K147:L147"/>
    <mergeCell ref="I147:J148"/>
    <mergeCell ref="K148:L148"/>
    <mergeCell ref="K149:L149"/>
    <mergeCell ref="K150:L150"/>
    <mergeCell ref="K151:L151"/>
    <mergeCell ref="K152:L152"/>
    <mergeCell ref="K156:L156"/>
    <mergeCell ref="K157:L157"/>
    <mergeCell ref="K158:L158"/>
    <mergeCell ref="I171:J171"/>
    <mergeCell ref="I177:J177"/>
    <mergeCell ref="I178:J178"/>
    <mergeCell ref="K177:L177"/>
    <mergeCell ref="K169:L169"/>
    <mergeCell ref="I149:J149"/>
    <mergeCell ref="O155:P155"/>
    <mergeCell ref="M166:N167"/>
    <mergeCell ref="M168:N168"/>
    <mergeCell ref="M169:N169"/>
    <mergeCell ref="I152:J152"/>
    <mergeCell ref="M151:N151"/>
    <mergeCell ref="O150:P150"/>
    <mergeCell ref="O151:P151"/>
    <mergeCell ref="O152:P152"/>
    <mergeCell ref="M152:N152"/>
    <mergeCell ref="O156:P156"/>
    <mergeCell ref="O157:P157"/>
    <mergeCell ref="O158:P158"/>
    <mergeCell ref="I202:L202"/>
    <mergeCell ref="K221:L221"/>
    <mergeCell ref="K222:L222"/>
    <mergeCell ref="K223:L223"/>
    <mergeCell ref="I221:J221"/>
    <mergeCell ref="M156:N156"/>
    <mergeCell ref="M157:N157"/>
    <mergeCell ref="M158:N158"/>
    <mergeCell ref="I166:J167"/>
    <mergeCell ref="K166:L167"/>
    <mergeCell ref="I204:J204"/>
    <mergeCell ref="K204:L204"/>
    <mergeCell ref="K170:L170"/>
    <mergeCell ref="M170:N170"/>
    <mergeCell ref="M171:N171"/>
    <mergeCell ref="M172:N172"/>
    <mergeCell ref="M173:N173"/>
    <mergeCell ref="I220:J220"/>
    <mergeCell ref="I203:L203"/>
    <mergeCell ref="I222:J222"/>
    <mergeCell ref="I223:J223"/>
    <mergeCell ref="I189:T189"/>
    <mergeCell ref="I188:T188"/>
    <mergeCell ref="M174:N174"/>
    <mergeCell ref="D448:E449"/>
    <mergeCell ref="L371:M371"/>
    <mergeCell ref="G237:H237"/>
    <mergeCell ref="M219:M223"/>
    <mergeCell ref="N218:O218"/>
    <mergeCell ref="N219:N223"/>
    <mergeCell ref="O219:O223"/>
    <mergeCell ref="K227:K228"/>
    <mergeCell ref="L227:M228"/>
    <mergeCell ref="N227:N228"/>
    <mergeCell ref="L229:M229"/>
    <mergeCell ref="L230:M230"/>
    <mergeCell ref="L231:M231"/>
    <mergeCell ref="L232:M232"/>
    <mergeCell ref="L233:M233"/>
    <mergeCell ref="L234:M234"/>
    <mergeCell ref="I219:J219"/>
    <mergeCell ref="I218:J218"/>
    <mergeCell ref="D309:E309"/>
    <mergeCell ref="D311:E311"/>
    <mergeCell ref="D313:E313"/>
    <mergeCell ref="D317:E317"/>
    <mergeCell ref="D320:E320"/>
    <mergeCell ref="I257:L257"/>
    <mergeCell ref="D424:E424"/>
    <mergeCell ref="D426:E426"/>
    <mergeCell ref="N371:O371"/>
    <mergeCell ref="T371:U371"/>
    <mergeCell ref="D402:E402"/>
    <mergeCell ref="D403:E403"/>
    <mergeCell ref="D407:E407"/>
    <mergeCell ref="D410:E410"/>
    <mergeCell ref="D413:E413"/>
    <mergeCell ref="D415:E415"/>
    <mergeCell ref="D350:E350"/>
    <mergeCell ref="D348:E348"/>
    <mergeCell ref="T369:U369"/>
    <mergeCell ref="D396:E396"/>
    <mergeCell ref="D399:E399"/>
    <mergeCell ref="D401:E401"/>
    <mergeCell ref="J368:U368"/>
    <mergeCell ref="B367:D368"/>
    <mergeCell ref="D341:E341"/>
    <mergeCell ref="D345:E345"/>
    <mergeCell ref="T430:U430"/>
    <mergeCell ref="J444:U444"/>
    <mergeCell ref="R445:S445"/>
    <mergeCell ref="R446:S446"/>
    <mergeCell ref="R447:S447"/>
    <mergeCell ref="D467:E467"/>
    <mergeCell ref="R369:S369"/>
    <mergeCell ref="R370:S370"/>
    <mergeCell ref="R371:S371"/>
    <mergeCell ref="D391:E391"/>
    <mergeCell ref="D405:E405"/>
    <mergeCell ref="D419:E419"/>
    <mergeCell ref="G429:R429"/>
    <mergeCell ref="T429:U429"/>
    <mergeCell ref="B443:D444"/>
    <mergeCell ref="G382:R382"/>
    <mergeCell ref="D385:E385"/>
    <mergeCell ref="D387:E387"/>
    <mergeCell ref="D388:E388"/>
    <mergeCell ref="D389:E389"/>
    <mergeCell ref="D393:E393"/>
    <mergeCell ref="D416:E416"/>
    <mergeCell ref="D417:E417"/>
    <mergeCell ref="D421:E421"/>
    <mergeCell ref="G505:R505"/>
    <mergeCell ref="T505:U505"/>
    <mergeCell ref="T506:U506"/>
    <mergeCell ref="B291:D292"/>
    <mergeCell ref="J292:U292"/>
    <mergeCell ref="J293:K293"/>
    <mergeCell ref="L293:M293"/>
    <mergeCell ref="N293:O293"/>
    <mergeCell ref="P293:Q293"/>
    <mergeCell ref="R293:S293"/>
    <mergeCell ref="T293:U293"/>
    <mergeCell ref="J294:K294"/>
    <mergeCell ref="L294:M294"/>
    <mergeCell ref="N294:O294"/>
    <mergeCell ref="P294:Q294"/>
    <mergeCell ref="R294:S294"/>
    <mergeCell ref="T294:U294"/>
    <mergeCell ref="L295:M295"/>
    <mergeCell ref="N295:O295"/>
    <mergeCell ref="P295:Q295"/>
    <mergeCell ref="R295:S295"/>
    <mergeCell ref="G353:R353"/>
    <mergeCell ref="T353:U353"/>
    <mergeCell ref="T354:U354"/>
    <mergeCell ref="D296:E297"/>
    <mergeCell ref="B287:V287"/>
    <mergeCell ref="B34:V34"/>
    <mergeCell ref="B7:V7"/>
    <mergeCell ref="E2:S3"/>
    <mergeCell ref="E5:S5"/>
    <mergeCell ref="D315:E315"/>
    <mergeCell ref="D329:E329"/>
    <mergeCell ref="D343:E343"/>
    <mergeCell ref="I275:L275"/>
    <mergeCell ref="I276:L276"/>
    <mergeCell ref="K278:L278"/>
    <mergeCell ref="K280:L280"/>
    <mergeCell ref="K282:L282"/>
    <mergeCell ref="K279:L279"/>
    <mergeCell ref="K283:L283"/>
    <mergeCell ref="I278:J278"/>
    <mergeCell ref="I280:J280"/>
    <mergeCell ref="I282:J282"/>
    <mergeCell ref="I279:J279"/>
    <mergeCell ref="I281:J281"/>
    <mergeCell ref="D323:E323"/>
    <mergeCell ref="D325:E325"/>
    <mergeCell ref="D327:E327"/>
  </mergeCells>
  <pageMargins left="0.7" right="0.7" top="0.75" bottom="0.75" header="0.3" footer="0.3"/>
  <pageSetup paperSize="8" scale="44" fitToHeight="0" orientation="landscape" r:id="rId1"/>
  <ignoredErrors>
    <ignoredError sqref="T394 T422 T408 T318 T332 T346 G396:J396 G424:R424"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Guidelines</vt:lpstr>
      <vt:lpstr>1 - General Data</vt:lpstr>
      <vt:lpstr>2 - Demand Domestic</vt:lpstr>
      <vt:lpstr>3 - Demand Livestock</vt:lpstr>
      <vt:lpstr>4 - Demand Agriculture</vt:lpstr>
      <vt:lpstr>5 - Migration</vt:lpstr>
      <vt:lpstr>6 - Wildlife</vt:lpstr>
      <vt:lpstr>SUMMARY</vt:lpstr>
      <vt:lpstr>SUMMARY!Print_Area</vt:lpstr>
    </vt:vector>
  </TitlesOfParts>
  <Company>IRC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Carrasco</dc:creator>
  <cp:lastModifiedBy>admin</cp:lastModifiedBy>
  <cp:lastPrinted>2013-08-16T15:42:56Z</cp:lastPrinted>
  <dcterms:created xsi:type="dcterms:W3CDTF">2013-06-01T13:17:24Z</dcterms:created>
  <dcterms:modified xsi:type="dcterms:W3CDTF">2014-02-03T13:59:37Z</dcterms:modified>
</cp:coreProperties>
</file>